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0" windowWidth="15480" windowHeight="8190" tabRatio="529"/>
  </bookViews>
  <sheets>
    <sheet name="Caraveli" sheetId="1" r:id="rId1"/>
    <sheet name="Caravel" sheetId="2" r:id="rId2"/>
    <sheet name="Acari" sheetId="3" r:id="rId3"/>
    <sheet name="Atico" sheetId="4" r:id="rId4"/>
    <sheet name="Yauca" sheetId="5" r:id="rId5"/>
    <sheet name="Jaqui" sheetId="6" r:id="rId6"/>
    <sheet name="Atiquipa" sheetId="7" r:id="rId7"/>
    <sheet name="Chala" sheetId="8" r:id="rId8"/>
    <sheet name="Chaparra" sheetId="9" r:id="rId9"/>
    <sheet name="Huanuhuanu" sheetId="10" r:id="rId10"/>
    <sheet name="Quicacha" sheetId="11" r:id="rId11"/>
    <sheet name="BellaUnion" sheetId="12" r:id="rId12"/>
    <sheet name="Cahuacho" sheetId="13" r:id="rId13"/>
  </sheets>
  <definedNames>
    <definedName name="_xlnm.Print_Area" localSheetId="2">Acari!$B$1:$R$50</definedName>
    <definedName name="_xlnm.Print_Area" localSheetId="3">Atico!$B$1:$R$50</definedName>
    <definedName name="_xlnm.Print_Area" localSheetId="6">Atiquipa!$B$1:$R$50</definedName>
    <definedName name="_xlnm.Print_Area" localSheetId="11">BellaUnion!$A$1:$R$50</definedName>
    <definedName name="_xlnm.Print_Area" localSheetId="12">Cahuacho!$A$1:$R$50</definedName>
    <definedName name="_xlnm.Print_Area" localSheetId="1">Caravel!$B$1:$R$50</definedName>
    <definedName name="_xlnm.Print_Area" localSheetId="0">Caraveli!$B$1:$R$50</definedName>
    <definedName name="_xlnm.Print_Area" localSheetId="7">Chala!$B$1:$R$50</definedName>
    <definedName name="_xlnm.Print_Area" localSheetId="8">Chaparra!$B$1:$R$50</definedName>
    <definedName name="_xlnm.Print_Area" localSheetId="9">Huanuhuanu!$A$1:$R$50</definedName>
    <definedName name="_xlnm.Print_Area" localSheetId="5">Jaqui!$B$1:$R$50</definedName>
    <definedName name="_xlnm.Print_Area" localSheetId="10">Quicacha!$A$1:$R$50</definedName>
    <definedName name="_xlnm.Print_Area" localSheetId="4">Yauca!$B$1:$R$50</definedName>
  </definedNames>
  <calcPr calcId="152511"/>
</workbook>
</file>

<file path=xl/calcChain.xml><?xml version="1.0" encoding="utf-8"?>
<calcChain xmlns="http://schemas.openxmlformats.org/spreadsheetml/2006/main">
  <c r="F20" i="1" l="1"/>
  <c r="F15" i="1"/>
  <c r="R34" i="4" l="1"/>
  <c r="Q34" i="4"/>
  <c r="P34" i="4"/>
  <c r="O34" i="4"/>
  <c r="N34" i="4"/>
  <c r="M34" i="4"/>
  <c r="L34" i="4"/>
  <c r="K34" i="4"/>
  <c r="J34" i="4"/>
  <c r="I34" i="4"/>
  <c r="H23" i="6" l="1"/>
  <c r="H23" i="13"/>
  <c r="H23" i="12"/>
  <c r="H23" i="11"/>
  <c r="H23" i="10"/>
  <c r="H23" i="9"/>
  <c r="H23" i="8"/>
  <c r="H23" i="7"/>
  <c r="H23" i="5"/>
  <c r="H34" i="4"/>
  <c r="H23" i="4"/>
  <c r="H23" i="3"/>
  <c r="H23" i="2"/>
  <c r="G34" i="4" l="1"/>
  <c r="H18" i="6" l="1"/>
  <c r="T28" i="7" l="1"/>
  <c r="U28" i="7"/>
  <c r="T37" i="7"/>
  <c r="U37" i="7"/>
  <c r="T39" i="7"/>
  <c r="U39" i="7"/>
  <c r="T42" i="7"/>
  <c r="U42" i="7"/>
  <c r="T44" i="7"/>
  <c r="U44" i="7"/>
  <c r="F33" i="6" l="1"/>
  <c r="R34" i="6"/>
  <c r="Q34" i="6"/>
  <c r="P34" i="6"/>
  <c r="O34" i="6"/>
  <c r="N34" i="6"/>
  <c r="M34" i="6"/>
  <c r="L34" i="6"/>
  <c r="K34" i="6"/>
  <c r="J34" i="6"/>
  <c r="I34" i="6"/>
  <c r="H34" i="6"/>
  <c r="G34" i="6"/>
  <c r="F34" i="6" l="1"/>
  <c r="F33" i="5" l="1"/>
  <c r="R34" i="5" l="1"/>
  <c r="Q34" i="5"/>
  <c r="P34" i="5"/>
  <c r="O34" i="5"/>
  <c r="N34" i="5"/>
  <c r="M34" i="5"/>
  <c r="L34" i="5"/>
  <c r="K34" i="5"/>
  <c r="J34" i="5"/>
  <c r="I34" i="5"/>
  <c r="H34" i="5"/>
  <c r="G34" i="5"/>
  <c r="F34" i="5" l="1"/>
  <c r="H21" i="12"/>
  <c r="I21" i="12"/>
  <c r="J21" i="12"/>
  <c r="K21" i="12"/>
  <c r="L21" i="12"/>
  <c r="M21" i="12"/>
  <c r="N21" i="12"/>
  <c r="O21" i="12"/>
  <c r="P21" i="12"/>
  <c r="Q21" i="12"/>
  <c r="R21" i="12"/>
  <c r="I18" i="4" l="1"/>
  <c r="F22" i="2" l="1"/>
  <c r="H34" i="8" l="1"/>
  <c r="F22" i="10" l="1"/>
  <c r="L34" i="13" l="1"/>
  <c r="K26" i="2" l="1"/>
  <c r="K16" i="2"/>
  <c r="P34" i="10" l="1"/>
  <c r="K23" i="1" l="1"/>
  <c r="G21" i="2" l="1"/>
  <c r="H21" i="2"/>
  <c r="I21" i="2"/>
  <c r="J21" i="2"/>
  <c r="K21" i="2"/>
  <c r="L21" i="2"/>
  <c r="M21" i="2"/>
  <c r="N21" i="2"/>
  <c r="O21" i="2"/>
  <c r="P21" i="2"/>
  <c r="Q21" i="2"/>
  <c r="G21" i="11" l="1"/>
  <c r="T21" i="11" s="1"/>
  <c r="H21" i="11"/>
  <c r="G26" i="13" l="1"/>
  <c r="G23" i="13"/>
  <c r="G21" i="13"/>
  <c r="G23" i="12"/>
  <c r="G16" i="12"/>
  <c r="G26" i="11" l="1"/>
  <c r="G23" i="11"/>
  <c r="G34" i="10"/>
  <c r="G26" i="10"/>
  <c r="G23" i="10"/>
  <c r="G21" i="10"/>
  <c r="G26" i="9"/>
  <c r="G23" i="9"/>
  <c r="G21" i="9"/>
  <c r="G26" i="8"/>
  <c r="G23" i="8"/>
  <c r="G16" i="8"/>
  <c r="G34" i="7"/>
  <c r="T34" i="7" s="1"/>
  <c r="G26" i="7"/>
  <c r="T26" i="7" s="1"/>
  <c r="U23" i="7"/>
  <c r="G23" i="7"/>
  <c r="T23" i="7" s="1"/>
  <c r="G16" i="7"/>
  <c r="T16" i="7" s="1"/>
  <c r="G23" i="6"/>
  <c r="G21" i="6"/>
  <c r="G31" i="5"/>
  <c r="G26" i="5"/>
  <c r="G23" i="5"/>
  <c r="G21" i="5"/>
  <c r="G18" i="5"/>
  <c r="G26" i="4"/>
  <c r="G23" i="4"/>
  <c r="G21" i="4"/>
  <c r="G18" i="4"/>
  <c r="G16" i="4"/>
  <c r="G23" i="3" l="1"/>
  <c r="G21" i="3"/>
  <c r="G26" i="2"/>
  <c r="G23" i="2"/>
  <c r="G18" i="2"/>
  <c r="R26" i="13" l="1"/>
  <c r="R23" i="13"/>
  <c r="R21" i="13"/>
  <c r="R23" i="12"/>
  <c r="R16" i="12"/>
  <c r="R26" i="11"/>
  <c r="R23" i="11"/>
  <c r="R21" i="11"/>
  <c r="R23" i="10"/>
  <c r="R21" i="10"/>
  <c r="R23" i="9"/>
  <c r="R21" i="9"/>
  <c r="R26" i="8"/>
  <c r="R23" i="8"/>
  <c r="R34" i="7"/>
  <c r="R26" i="7"/>
  <c r="R23" i="7"/>
  <c r="R16" i="7"/>
  <c r="R23" i="6"/>
  <c r="R21" i="6"/>
  <c r="R23" i="5"/>
  <c r="R21" i="5"/>
  <c r="R26" i="4"/>
  <c r="R23" i="4"/>
  <c r="R21" i="4"/>
  <c r="R26" i="3"/>
  <c r="R23" i="3"/>
  <c r="R21" i="3"/>
  <c r="R26" i="2"/>
  <c r="R23" i="2"/>
  <c r="R21" i="2"/>
  <c r="R16" i="2"/>
  <c r="Q34" i="13" l="1"/>
  <c r="Q31" i="13"/>
  <c r="Q26" i="13"/>
  <c r="Q23" i="13"/>
  <c r="Q23" i="12" l="1"/>
  <c r="Q16" i="12"/>
  <c r="Q34" i="11"/>
  <c r="Q26" i="11"/>
  <c r="Q23" i="11"/>
  <c r="Q21" i="11"/>
  <c r="Q26" i="10"/>
  <c r="Q23" i="10"/>
  <c r="Q21" i="10"/>
  <c r="Q23" i="9"/>
  <c r="Q21" i="9"/>
  <c r="Q16" i="9"/>
  <c r="Q26" i="8"/>
  <c r="Q23" i="8"/>
  <c r="Q34" i="7"/>
  <c r="Q26" i="7"/>
  <c r="Q23" i="7"/>
  <c r="Q21" i="7"/>
  <c r="Q16" i="7"/>
  <c r="Q23" i="6" l="1"/>
  <c r="Q21" i="6"/>
  <c r="Q23" i="5"/>
  <c r="Q21" i="5" l="1"/>
  <c r="Q16" i="5"/>
  <c r="Q23" i="4" l="1"/>
  <c r="Q21" i="4"/>
  <c r="Q26" i="3"/>
  <c r="Q23" i="3"/>
  <c r="Q21" i="3"/>
  <c r="Q23" i="2"/>
  <c r="Q16" i="2"/>
  <c r="P23" i="13" l="1"/>
  <c r="P23" i="12"/>
  <c r="P23" i="11"/>
  <c r="P23" i="10"/>
  <c r="P23" i="9"/>
  <c r="P23" i="8"/>
  <c r="P23" i="7"/>
  <c r="P23" i="6"/>
  <c r="O23" i="5"/>
  <c r="P23" i="4"/>
  <c r="P23" i="3"/>
  <c r="P23" i="2"/>
  <c r="P34" i="13" l="1"/>
  <c r="P31" i="13"/>
  <c r="P26" i="13"/>
  <c r="P34" i="12"/>
  <c r="P26" i="12"/>
  <c r="P16" i="12"/>
  <c r="P34" i="11"/>
  <c r="P26" i="11"/>
  <c r="P21" i="11"/>
  <c r="P26" i="10"/>
  <c r="P21" i="9"/>
  <c r="P26" i="8"/>
  <c r="P21" i="8"/>
  <c r="P16" i="8"/>
  <c r="P34" i="7"/>
  <c r="P21" i="7"/>
  <c r="P16" i="7"/>
  <c r="P21" i="6"/>
  <c r="P23" i="5"/>
  <c r="P21" i="5"/>
  <c r="P21" i="4"/>
  <c r="P34" i="3"/>
  <c r="P21" i="3"/>
  <c r="P16" i="2"/>
  <c r="O34" i="13" l="1"/>
  <c r="O31" i="13"/>
  <c r="O26" i="13"/>
  <c r="O23" i="13"/>
  <c r="O21" i="13"/>
  <c r="O16" i="13"/>
  <c r="O34" i="12"/>
  <c r="O26" i="12"/>
  <c r="O23" i="12"/>
  <c r="O16" i="12"/>
  <c r="O34" i="11"/>
  <c r="O26" i="11"/>
  <c r="O23" i="11"/>
  <c r="O21" i="11"/>
  <c r="O31" i="10"/>
  <c r="O26" i="10"/>
  <c r="O23" i="10"/>
  <c r="O21" i="10"/>
  <c r="O16" i="10"/>
  <c r="O23" i="9"/>
  <c r="O21" i="9"/>
  <c r="O16" i="9"/>
  <c r="O26" i="8"/>
  <c r="O23" i="8"/>
  <c r="O21" i="8"/>
  <c r="O16" i="8"/>
  <c r="O26" i="7"/>
  <c r="O23" i="7"/>
  <c r="O16" i="7"/>
  <c r="O23" i="6"/>
  <c r="O21" i="5"/>
  <c r="O16" i="5"/>
  <c r="O23" i="4"/>
  <c r="O26" i="3"/>
  <c r="O23" i="3"/>
  <c r="O21" i="3"/>
  <c r="O18" i="3"/>
  <c r="O16" i="3"/>
  <c r="O26" i="2" l="1"/>
  <c r="O23" i="2"/>
  <c r="O16" i="2"/>
  <c r="N34" i="13" l="1"/>
  <c r="N26" i="13"/>
  <c r="N23" i="13"/>
  <c r="N21" i="13"/>
  <c r="N18" i="13"/>
  <c r="N23" i="12"/>
  <c r="N16" i="12"/>
  <c r="N34" i="11"/>
  <c r="N26" i="11"/>
  <c r="N23" i="11"/>
  <c r="N21" i="11"/>
  <c r="N16" i="11"/>
  <c r="N26" i="10"/>
  <c r="N23" i="10"/>
  <c r="N21" i="10"/>
  <c r="N16" i="10"/>
  <c r="N31" i="9"/>
  <c r="N23" i="9"/>
  <c r="N21" i="9"/>
  <c r="N18" i="9"/>
  <c r="N16" i="9"/>
  <c r="N26" i="8"/>
  <c r="N23" i="8"/>
  <c r="N21" i="8"/>
  <c r="N16" i="8"/>
  <c r="N34" i="7"/>
  <c r="N26" i="7"/>
  <c r="N23" i="7"/>
  <c r="N21" i="7"/>
  <c r="N16" i="7"/>
  <c r="N23" i="6" l="1"/>
  <c r="N23" i="5" l="1"/>
  <c r="N21" i="5"/>
  <c r="N23" i="4"/>
  <c r="N21" i="4"/>
  <c r="N16" i="4"/>
  <c r="N26" i="3"/>
  <c r="N23" i="3"/>
  <c r="N21" i="3"/>
  <c r="N18" i="3"/>
  <c r="N26" i="2" l="1"/>
  <c r="N23" i="2"/>
  <c r="N16" i="2"/>
  <c r="M34" i="13" l="1"/>
  <c r="M26" i="13"/>
  <c r="M23" i="13"/>
  <c r="M21" i="13"/>
  <c r="M23" i="12"/>
  <c r="M16" i="12"/>
  <c r="M34" i="11"/>
  <c r="M26" i="11"/>
  <c r="M23" i="11"/>
  <c r="M21" i="11"/>
  <c r="M16" i="11"/>
  <c r="M26" i="10"/>
  <c r="M23" i="10"/>
  <c r="M21" i="10"/>
  <c r="M16" i="10"/>
  <c r="M23" i="9"/>
  <c r="M31" i="8"/>
  <c r="M26" i="8"/>
  <c r="M23" i="8"/>
  <c r="M21" i="8"/>
  <c r="M16" i="8"/>
  <c r="M23" i="7"/>
  <c r="M21" i="7"/>
  <c r="M16" i="7"/>
  <c r="M31" i="6"/>
  <c r="M23" i="6"/>
  <c r="M23" i="5"/>
  <c r="M23" i="4"/>
  <c r="M21" i="4"/>
  <c r="M16" i="4"/>
  <c r="M26" i="3"/>
  <c r="M23" i="3"/>
  <c r="M21" i="3"/>
  <c r="M26" i="2"/>
  <c r="M23" i="2"/>
  <c r="L26" i="2" l="1"/>
  <c r="L23" i="2"/>
  <c r="L26" i="13"/>
  <c r="L23" i="13"/>
  <c r="L21" i="13"/>
  <c r="L23" i="12"/>
  <c r="L18" i="12"/>
  <c r="L16" i="12"/>
  <c r="L34" i="11"/>
  <c r="K34" i="11"/>
  <c r="L26" i="11"/>
  <c r="L23" i="11"/>
  <c r="L21" i="11"/>
  <c r="L26" i="10"/>
  <c r="L23" i="10"/>
  <c r="L21" i="10"/>
  <c r="L18" i="10"/>
  <c r="L16" i="10"/>
  <c r="L23" i="9"/>
  <c r="L31" i="8"/>
  <c r="L26" i="8"/>
  <c r="L23" i="8"/>
  <c r="L23" i="7" l="1"/>
  <c r="L21" i="7"/>
  <c r="L16" i="7"/>
  <c r="L23" i="6"/>
  <c r="L16" i="6"/>
  <c r="L31" i="5"/>
  <c r="L23" i="5"/>
  <c r="L16" i="5"/>
  <c r="L23" i="4"/>
  <c r="L21" i="4"/>
  <c r="L16" i="4"/>
  <c r="L23" i="3"/>
  <c r="L21" i="3"/>
  <c r="L16" i="3"/>
  <c r="K34" i="13" l="1"/>
  <c r="K34" i="3"/>
  <c r="K26" i="13" l="1"/>
  <c r="K23" i="13"/>
  <c r="K21" i="13"/>
  <c r="K16" i="13"/>
  <c r="K23" i="12"/>
  <c r="K16" i="12"/>
  <c r="K26" i="11" l="1"/>
  <c r="K23" i="11"/>
  <c r="K21" i="11"/>
  <c r="K26" i="10"/>
  <c r="K23" i="10"/>
  <c r="K21" i="10"/>
  <c r="K16" i="10"/>
  <c r="K23" i="9"/>
  <c r="K31" i="8"/>
  <c r="K23" i="8"/>
  <c r="K16" i="8"/>
  <c r="K23" i="7"/>
  <c r="K21" i="7"/>
  <c r="K16" i="7"/>
  <c r="K23" i="6" l="1"/>
  <c r="K16" i="6"/>
  <c r="K31" i="5"/>
  <c r="K23" i="5"/>
  <c r="K16" i="5"/>
  <c r="K23" i="4"/>
  <c r="K21" i="4"/>
  <c r="K23" i="3"/>
  <c r="K31" i="2"/>
  <c r="K23" i="2"/>
  <c r="J31" i="13" l="1"/>
  <c r="W31" i="13" s="1"/>
  <c r="J23" i="13"/>
  <c r="W23" i="13" s="1"/>
  <c r="J21" i="13"/>
  <c r="W21" i="13" s="1"/>
  <c r="J18" i="13"/>
  <c r="W18" i="13" s="1"/>
  <c r="J16" i="13"/>
  <c r="W16" i="13" s="1"/>
  <c r="J23" i="12"/>
  <c r="W23" i="12" s="1"/>
  <c r="J16" i="12"/>
  <c r="W16" i="12" s="1"/>
  <c r="J23" i="11"/>
  <c r="W23" i="11" s="1"/>
  <c r="J21" i="11"/>
  <c r="W21" i="11" s="1"/>
  <c r="J16" i="11"/>
  <c r="W16" i="11" s="1"/>
  <c r="J23" i="10"/>
  <c r="W23" i="10" s="1"/>
  <c r="J21" i="10"/>
  <c r="W21" i="10" s="1"/>
  <c r="J16" i="10"/>
  <c r="W16" i="10" s="1"/>
  <c r="J23" i="9"/>
  <c r="W23" i="9" s="1"/>
  <c r="J18" i="9"/>
  <c r="W18" i="9" s="1"/>
  <c r="J31" i="8"/>
  <c r="W31" i="8" s="1"/>
  <c r="J23" i="8"/>
  <c r="W23" i="8" s="1"/>
  <c r="J18" i="8"/>
  <c r="W18" i="8" s="1"/>
  <c r="J16" i="8"/>
  <c r="W16" i="8" s="1"/>
  <c r="J23" i="7"/>
  <c r="W23" i="7" s="1"/>
  <c r="J21" i="7"/>
  <c r="W21" i="7" s="1"/>
  <c r="J16" i="7"/>
  <c r="W16" i="7" s="1"/>
  <c r="J23" i="6"/>
  <c r="W23" i="6" s="1"/>
  <c r="J18" i="6"/>
  <c r="W18" i="6" s="1"/>
  <c r="J16" i="6"/>
  <c r="W16" i="6" s="1"/>
  <c r="J31" i="5"/>
  <c r="W31" i="5" s="1"/>
  <c r="J23" i="5"/>
  <c r="W23" i="5" s="1"/>
  <c r="J21" i="5"/>
  <c r="W21" i="5" s="1"/>
  <c r="J26" i="4"/>
  <c r="J23" i="4"/>
  <c r="W23" i="4" s="1"/>
  <c r="J21" i="4"/>
  <c r="W21" i="4" s="1"/>
  <c r="J34" i="3"/>
  <c r="W34" i="3" s="1"/>
  <c r="J23" i="3"/>
  <c r="J34" i="2"/>
  <c r="W34" i="2" s="1"/>
  <c r="J31" i="2"/>
  <c r="W31" i="2" s="1"/>
  <c r="J26" i="2"/>
  <c r="W26" i="2" s="1"/>
  <c r="J23" i="2"/>
  <c r="I31" i="13"/>
  <c r="V31" i="13" s="1"/>
  <c r="I28" i="13"/>
  <c r="V28" i="13" s="1"/>
  <c r="I26" i="13"/>
  <c r="V26" i="13" s="1"/>
  <c r="I23" i="13"/>
  <c r="V23" i="13" s="1"/>
  <c r="I18" i="13"/>
  <c r="I16" i="13"/>
  <c r="V16" i="13" s="1"/>
  <c r="I23" i="12"/>
  <c r="V23" i="12" s="1"/>
  <c r="I16" i="12"/>
  <c r="V16" i="12" s="1"/>
  <c r="H16" i="12"/>
  <c r="U16" i="12" s="1"/>
  <c r="I23" i="11"/>
  <c r="V23" i="11" s="1"/>
  <c r="I21" i="11"/>
  <c r="I23" i="10"/>
  <c r="V23" i="10" s="1"/>
  <c r="I16" i="10"/>
  <c r="V16" i="10" s="1"/>
  <c r="I31" i="9"/>
  <c r="V31" i="9" s="1"/>
  <c r="I23" i="9"/>
  <c r="I21" i="9"/>
  <c r="V21" i="9" s="1"/>
  <c r="I18" i="9"/>
  <c r="V18" i="9" s="1"/>
  <c r="I31" i="8"/>
  <c r="V31" i="8" s="1"/>
  <c r="I23" i="8"/>
  <c r="V23" i="8" s="1"/>
  <c r="I18" i="8"/>
  <c r="V18" i="8" s="1"/>
  <c r="I16" i="8"/>
  <c r="V16" i="8" s="1"/>
  <c r="I23" i="7"/>
  <c r="V23" i="7" s="1"/>
  <c r="I21" i="7"/>
  <c r="V21" i="7" s="1"/>
  <c r="I18" i="7"/>
  <c r="V18" i="7" s="1"/>
  <c r="I16" i="7"/>
  <c r="V16" i="7" s="1"/>
  <c r="I26" i="6"/>
  <c r="V26" i="6" s="1"/>
  <c r="I23" i="6"/>
  <c r="V23" i="6" s="1"/>
  <c r="I18" i="6"/>
  <c r="V18" i="6" s="1"/>
  <c r="I16" i="6"/>
  <c r="V16" i="6" s="1"/>
  <c r="I26" i="5"/>
  <c r="V26" i="5" s="1"/>
  <c r="I23" i="5"/>
  <c r="I21" i="5"/>
  <c r="V21" i="5" s="1"/>
  <c r="I23" i="4"/>
  <c r="V23" i="4" s="1"/>
  <c r="I21" i="4"/>
  <c r="V21" i="4" s="1"/>
  <c r="I26" i="3"/>
  <c r="V26" i="3" s="1"/>
  <c r="I23" i="3"/>
  <c r="V23" i="3" s="1"/>
  <c r="I34" i="2"/>
  <c r="V34" i="2" s="1"/>
  <c r="I23" i="2"/>
  <c r="V23" i="2" s="1"/>
  <c r="I16" i="2"/>
  <c r="V16" i="2" s="1"/>
  <c r="H31" i="13"/>
  <c r="U31" i="13" s="1"/>
  <c r="H18" i="13"/>
  <c r="U18" i="13" s="1"/>
  <c r="H16" i="13"/>
  <c r="U16" i="13" s="1"/>
  <c r="H34" i="11"/>
  <c r="U34" i="11" s="1"/>
  <c r="U21" i="11"/>
  <c r="H26" i="10"/>
  <c r="U26" i="10" s="1"/>
  <c r="H16" i="10"/>
  <c r="U16" i="10" s="1"/>
  <c r="H31" i="9"/>
  <c r="U31" i="9" s="1"/>
  <c r="H21" i="9"/>
  <c r="U21" i="9" s="1"/>
  <c r="H18" i="9"/>
  <c r="U18" i="9" s="1"/>
  <c r="H21" i="8"/>
  <c r="U21" i="8" s="1"/>
  <c r="H18" i="8"/>
  <c r="U18" i="8" s="1"/>
  <c r="H16" i="8"/>
  <c r="U16" i="8" s="1"/>
  <c r="H26" i="7"/>
  <c r="U26" i="7" s="1"/>
  <c r="H21" i="7"/>
  <c r="U21" i="7" s="1"/>
  <c r="H18" i="7"/>
  <c r="U18" i="7" s="1"/>
  <c r="H16" i="7"/>
  <c r="U16" i="7" s="1"/>
  <c r="H21" i="6"/>
  <c r="U21" i="6" s="1"/>
  <c r="U18" i="6"/>
  <c r="H16" i="6"/>
  <c r="U16" i="6" s="1"/>
  <c r="H26" i="5"/>
  <c r="U26" i="5" s="1"/>
  <c r="H21" i="5"/>
  <c r="U21" i="5" s="1"/>
  <c r="H18" i="5"/>
  <c r="U18" i="5" s="1"/>
  <c r="H26" i="4"/>
  <c r="U26" i="4" s="1"/>
  <c r="H21" i="4"/>
  <c r="U21" i="4" s="1"/>
  <c r="H18" i="4"/>
  <c r="U18" i="4" s="1"/>
  <c r="H34" i="3"/>
  <c r="U34" i="3" s="1"/>
  <c r="H26" i="3"/>
  <c r="U26" i="3" s="1"/>
  <c r="H21" i="3"/>
  <c r="H34" i="2"/>
  <c r="U34" i="2" s="1"/>
  <c r="H26" i="2"/>
  <c r="U26" i="2" s="1"/>
  <c r="H16" i="2"/>
  <c r="G31" i="13"/>
  <c r="T31" i="13" s="1"/>
  <c r="T23" i="13"/>
  <c r="G18" i="13"/>
  <c r="T18" i="13" s="1"/>
  <c r="G16" i="13"/>
  <c r="T16" i="13" s="1"/>
  <c r="G18" i="12"/>
  <c r="T18" i="12" s="1"/>
  <c r="T26" i="11"/>
  <c r="G18" i="11"/>
  <c r="T18" i="11" s="1"/>
  <c r="G31" i="10"/>
  <c r="T31" i="10" s="1"/>
  <c r="G16" i="10"/>
  <c r="T16" i="10" s="1"/>
  <c r="T26" i="9"/>
  <c r="T23" i="8"/>
  <c r="G21" i="8"/>
  <c r="T21" i="8" s="1"/>
  <c r="G31" i="7"/>
  <c r="T31" i="7" s="1"/>
  <c r="G21" i="7"/>
  <c r="T21" i="7" s="1"/>
  <c r="G26" i="6"/>
  <c r="T26" i="6" s="1"/>
  <c r="G18" i="6"/>
  <c r="T18" i="6" s="1"/>
  <c r="G16" i="6"/>
  <c r="T16" i="6" s="1"/>
  <c r="G34" i="3"/>
  <c r="T34" i="3" s="1"/>
  <c r="T21" i="3"/>
  <c r="G18" i="3"/>
  <c r="T18" i="3" s="1"/>
  <c r="G16" i="3"/>
  <c r="T16" i="3" s="1"/>
  <c r="R18" i="2"/>
  <c r="AE18" i="2" s="1"/>
  <c r="G16" i="2"/>
  <c r="U23" i="9"/>
  <c r="U23" i="8"/>
  <c r="U23" i="6"/>
  <c r="R31" i="13"/>
  <c r="AE31" i="13" s="1"/>
  <c r="R18" i="13"/>
  <c r="AE18" i="13" s="1"/>
  <c r="R16" i="13"/>
  <c r="AE16" i="13" s="1"/>
  <c r="R31" i="12"/>
  <c r="AE31" i="12" s="1"/>
  <c r="AE23" i="11"/>
  <c r="AE21" i="11"/>
  <c r="R18" i="11"/>
  <c r="AE18" i="11" s="1"/>
  <c r="R31" i="10"/>
  <c r="AE31" i="10" s="1"/>
  <c r="AE23" i="10"/>
  <c r="R16" i="10"/>
  <c r="AE16" i="10" s="1"/>
  <c r="R26" i="9"/>
  <c r="AE26" i="9" s="1"/>
  <c r="R18" i="9"/>
  <c r="AE18" i="9" s="1"/>
  <c r="AE26" i="8"/>
  <c r="R21" i="8"/>
  <c r="AE21" i="8" s="1"/>
  <c r="R18" i="8"/>
  <c r="AE18" i="8" s="1"/>
  <c r="R16" i="8"/>
  <c r="AE16" i="8" s="1"/>
  <c r="AE26" i="7"/>
  <c r="R21" i="7"/>
  <c r="R18" i="7"/>
  <c r="AE18" i="7" s="1"/>
  <c r="AE16" i="7"/>
  <c r="R26" i="6"/>
  <c r="AE26" i="6" s="1"/>
  <c r="AE23" i="6"/>
  <c r="AE21" i="6"/>
  <c r="R18" i="6"/>
  <c r="AE18" i="6" s="1"/>
  <c r="R16" i="6"/>
  <c r="AE16" i="6" s="1"/>
  <c r="R26" i="5"/>
  <c r="AE26" i="5" s="1"/>
  <c r="AE23" i="5"/>
  <c r="R18" i="5"/>
  <c r="AE18" i="5" s="1"/>
  <c r="AE21" i="4"/>
  <c r="R18" i="4"/>
  <c r="AE18" i="4" s="1"/>
  <c r="R16" i="4"/>
  <c r="AE16" i="4" s="1"/>
  <c r="R34" i="3"/>
  <c r="AE34" i="3" s="1"/>
  <c r="AE26" i="3"/>
  <c r="R18" i="3"/>
  <c r="AE18" i="3" s="1"/>
  <c r="AE21" i="2"/>
  <c r="Q26" i="2"/>
  <c r="AD26" i="2" s="1"/>
  <c r="Q18" i="2"/>
  <c r="AD18" i="2" s="1"/>
  <c r="AD16" i="2"/>
  <c r="AD34" i="13"/>
  <c r="AD31" i="13"/>
  <c r="AD26" i="13"/>
  <c r="AD23" i="13"/>
  <c r="Q21" i="13"/>
  <c r="AD21" i="13" s="1"/>
  <c r="Q18" i="13"/>
  <c r="AD18" i="13" s="1"/>
  <c r="Q16" i="13"/>
  <c r="AD16" i="13" s="1"/>
  <c r="AD21" i="12"/>
  <c r="Q18" i="12"/>
  <c r="AD18" i="12" s="1"/>
  <c r="Q31" i="11"/>
  <c r="AD31" i="11" s="1"/>
  <c r="AD26" i="11"/>
  <c r="Q18" i="11"/>
  <c r="AD18" i="11" s="1"/>
  <c r="Q16" i="11"/>
  <c r="AD16" i="11" s="1"/>
  <c r="Q31" i="10"/>
  <c r="AD31" i="10" s="1"/>
  <c r="AD26" i="10"/>
  <c r="Q16" i="10"/>
  <c r="AD16" i="10" s="1"/>
  <c r="Q26" i="9"/>
  <c r="AD26" i="9" s="1"/>
  <c r="AD21" i="9"/>
  <c r="Q18" i="9"/>
  <c r="AD18" i="9" s="1"/>
  <c r="Q21" i="8"/>
  <c r="AD21" i="8" s="1"/>
  <c r="Q18" i="8"/>
  <c r="AD18" i="8" s="1"/>
  <c r="Q16" i="8"/>
  <c r="Q31" i="7"/>
  <c r="AD31" i="7" s="1"/>
  <c r="AD26" i="7"/>
  <c r="AD23" i="7"/>
  <c r="AD21" i="7"/>
  <c r="AD16" i="7"/>
  <c r="Q26" i="6"/>
  <c r="AD26" i="6" s="1"/>
  <c r="AD21" i="6"/>
  <c r="Q18" i="6"/>
  <c r="AD18" i="6" s="1"/>
  <c r="Q16" i="6"/>
  <c r="AD16" i="6" s="1"/>
  <c r="Q26" i="5"/>
  <c r="AD26" i="5" s="1"/>
  <c r="AC21" i="5"/>
  <c r="Q18" i="5"/>
  <c r="AD18" i="5" s="1"/>
  <c r="Q26" i="4"/>
  <c r="AD26" i="4" s="1"/>
  <c r="AD21" i="4"/>
  <c r="Q18" i="4"/>
  <c r="AD18" i="4" s="1"/>
  <c r="Q16" i="4"/>
  <c r="AD16" i="4" s="1"/>
  <c r="Q34" i="3"/>
  <c r="AD34" i="3" s="1"/>
  <c r="AD23" i="3"/>
  <c r="Q18" i="3"/>
  <c r="AD18" i="3" s="1"/>
  <c r="AC23" i="12"/>
  <c r="AC34" i="13"/>
  <c r="AC31" i="13"/>
  <c r="P21" i="13"/>
  <c r="AC21" i="13" s="1"/>
  <c r="P18" i="13"/>
  <c r="AC18" i="13" s="1"/>
  <c r="P16" i="13"/>
  <c r="AC16" i="13" s="1"/>
  <c r="AC34" i="12"/>
  <c r="P18" i="12"/>
  <c r="AC18" i="12" s="1"/>
  <c r="AC34" i="11"/>
  <c r="P31" i="11"/>
  <c r="AC31" i="11" s="1"/>
  <c r="AC26" i="11"/>
  <c r="AC21" i="11"/>
  <c r="P18" i="11"/>
  <c r="AC18" i="11" s="1"/>
  <c r="P31" i="10"/>
  <c r="AC31" i="10" s="1"/>
  <c r="P21" i="10"/>
  <c r="AC21" i="10" s="1"/>
  <c r="P18" i="10"/>
  <c r="AC18" i="10" s="1"/>
  <c r="P16" i="10"/>
  <c r="AC16" i="10" s="1"/>
  <c r="P26" i="9"/>
  <c r="AC26" i="9" s="1"/>
  <c r="AC23" i="9"/>
  <c r="AC21" i="9"/>
  <c r="P18" i="9"/>
  <c r="AC18" i="9" s="1"/>
  <c r="AC21" i="8"/>
  <c r="P18" i="8"/>
  <c r="AC18" i="8" s="1"/>
  <c r="AC16" i="8"/>
  <c r="P26" i="7"/>
  <c r="AC26" i="7" s="1"/>
  <c r="AC23" i="7"/>
  <c r="AC16" i="7"/>
  <c r="P26" i="6"/>
  <c r="AC26" i="6" s="1"/>
  <c r="AC23" i="6"/>
  <c r="AC21" i="6"/>
  <c r="P18" i="6"/>
  <c r="P16" i="6"/>
  <c r="AC16" i="6" s="1"/>
  <c r="P26" i="5"/>
  <c r="AC26" i="5" s="1"/>
  <c r="P18" i="5"/>
  <c r="AC18" i="5" s="1"/>
  <c r="P26" i="4"/>
  <c r="AC26" i="4" s="1"/>
  <c r="AC23" i="4"/>
  <c r="P18" i="4"/>
  <c r="AC18" i="4" s="1"/>
  <c r="P16" i="4"/>
  <c r="AC16" i="4" s="1"/>
  <c r="AC34" i="3"/>
  <c r="P26" i="3"/>
  <c r="AC26" i="3" s="1"/>
  <c r="P18" i="3"/>
  <c r="AC18" i="3" s="1"/>
  <c r="P16" i="3"/>
  <c r="AC16" i="3" s="1"/>
  <c r="P26" i="2"/>
  <c r="AC26" i="2" s="1"/>
  <c r="AC23" i="2"/>
  <c r="P18" i="2"/>
  <c r="AC18" i="2" s="1"/>
  <c r="O21" i="1"/>
  <c r="AB23" i="6"/>
  <c r="AB23" i="4"/>
  <c r="AB26" i="13"/>
  <c r="AB16" i="13"/>
  <c r="AB26" i="11"/>
  <c r="O18" i="11"/>
  <c r="AB18" i="11" s="1"/>
  <c r="O16" i="11"/>
  <c r="AB16" i="11" s="1"/>
  <c r="AB26" i="10"/>
  <c r="AB21" i="10"/>
  <c r="AB16" i="10"/>
  <c r="O26" i="9"/>
  <c r="AB26" i="9" s="1"/>
  <c r="AB23" i="9"/>
  <c r="AB21" i="9"/>
  <c r="AB21" i="8"/>
  <c r="O34" i="7"/>
  <c r="AB34" i="7" s="1"/>
  <c r="AB26" i="7"/>
  <c r="O26" i="6"/>
  <c r="AB26" i="6" s="1"/>
  <c r="O21" i="6"/>
  <c r="AB21" i="6" s="1"/>
  <c r="O16" i="6"/>
  <c r="AB16" i="6" s="1"/>
  <c r="O26" i="5"/>
  <c r="AB26" i="5" s="1"/>
  <c r="AB16" i="5"/>
  <c r="O26" i="4"/>
  <c r="AB26" i="4" s="1"/>
  <c r="O21" i="4"/>
  <c r="AB21" i="4" s="1"/>
  <c r="O16" i="4"/>
  <c r="AB16" i="4" s="1"/>
  <c r="O34" i="3"/>
  <c r="AB34" i="3" s="1"/>
  <c r="AB26" i="3"/>
  <c r="AB21" i="3"/>
  <c r="AB18" i="3"/>
  <c r="AB16" i="3"/>
  <c r="O34" i="2"/>
  <c r="AB34" i="2" s="1"/>
  <c r="N31" i="13"/>
  <c r="AA31" i="13" s="1"/>
  <c r="AA23" i="13"/>
  <c r="AA21" i="13"/>
  <c r="N16" i="13"/>
  <c r="AA16" i="13" s="1"/>
  <c r="N34" i="12"/>
  <c r="AA34" i="12" s="1"/>
  <c r="N26" i="12"/>
  <c r="AA26" i="12" s="1"/>
  <c r="N18" i="12"/>
  <c r="AA18" i="12" s="1"/>
  <c r="N18" i="11"/>
  <c r="AA18" i="11" s="1"/>
  <c r="AA16" i="11"/>
  <c r="AA23" i="10"/>
  <c r="AA21" i="10"/>
  <c r="AA16" i="10"/>
  <c r="N26" i="9"/>
  <c r="AA26" i="9" s="1"/>
  <c r="AA26" i="8"/>
  <c r="AA26" i="7"/>
  <c r="N26" i="6"/>
  <c r="AA26" i="6" s="1"/>
  <c r="N21" i="6"/>
  <c r="AA21" i="6" s="1"/>
  <c r="N16" i="6"/>
  <c r="AA16" i="6" s="1"/>
  <c r="N26" i="5"/>
  <c r="AA26" i="5" s="1"/>
  <c r="AA23" i="5"/>
  <c r="N16" i="5"/>
  <c r="AA16" i="5" s="1"/>
  <c r="N26" i="4"/>
  <c r="AA23" i="4"/>
  <c r="N34" i="3"/>
  <c r="AA34" i="3" s="1"/>
  <c r="N31" i="3"/>
  <c r="AA31" i="3" s="1"/>
  <c r="AA26" i="3"/>
  <c r="AA18" i="3"/>
  <c r="N16" i="3"/>
  <c r="AA16" i="3" s="1"/>
  <c r="N34" i="2"/>
  <c r="AA34" i="2" s="1"/>
  <c r="M31" i="13"/>
  <c r="Z31" i="13" s="1"/>
  <c r="Z23" i="13"/>
  <c r="M16" i="13"/>
  <c r="Z16" i="13" s="1"/>
  <c r="M34" i="12"/>
  <c r="Z34" i="12" s="1"/>
  <c r="M26" i="12"/>
  <c r="Z26" i="12" s="1"/>
  <c r="Z23" i="12"/>
  <c r="Z21" i="12"/>
  <c r="M18" i="12"/>
  <c r="Z18" i="12" s="1"/>
  <c r="Z34" i="11"/>
  <c r="Z21" i="11"/>
  <c r="M18" i="11"/>
  <c r="Z18" i="11" s="1"/>
  <c r="Z16" i="11"/>
  <c r="Z23" i="10"/>
  <c r="Z21" i="10"/>
  <c r="M31" i="9"/>
  <c r="Z31" i="9" s="1"/>
  <c r="M26" i="9"/>
  <c r="Z26" i="9" s="1"/>
  <c r="Z23" i="9"/>
  <c r="M21" i="9"/>
  <c r="Z21" i="9" s="1"/>
  <c r="Z31" i="8"/>
  <c r="Z16" i="8"/>
  <c r="M26" i="7"/>
  <c r="Z26" i="7" s="1"/>
  <c r="Z23" i="7"/>
  <c r="Z21" i="7"/>
  <c r="Z16" i="7"/>
  <c r="M26" i="6"/>
  <c r="Z26" i="6" s="1"/>
  <c r="Z23" i="6"/>
  <c r="M21" i="6"/>
  <c r="Z21" i="6" s="1"/>
  <c r="M16" i="6"/>
  <c r="Z16" i="6" s="1"/>
  <c r="M26" i="5"/>
  <c r="Z26" i="5" s="1"/>
  <c r="M21" i="5"/>
  <c r="Z21" i="5" s="1"/>
  <c r="M16" i="5"/>
  <c r="Z16" i="5" s="1"/>
  <c r="M26" i="4"/>
  <c r="Z26" i="4" s="1"/>
  <c r="Z23" i="4"/>
  <c r="Z21" i="4"/>
  <c r="M34" i="3"/>
  <c r="M31" i="3"/>
  <c r="Z31" i="3" s="1"/>
  <c r="Z26" i="3"/>
  <c r="Z23" i="3"/>
  <c r="Z21" i="3"/>
  <c r="M16" i="3"/>
  <c r="Z16" i="3" s="1"/>
  <c r="Z26" i="2"/>
  <c r="Y23" i="2"/>
  <c r="L31" i="13"/>
  <c r="Y31" i="13" s="1"/>
  <c r="L16" i="13"/>
  <c r="Y16" i="13" s="1"/>
  <c r="L34" i="12"/>
  <c r="Y34" i="12" s="1"/>
  <c r="L26" i="12"/>
  <c r="Y26" i="12" s="1"/>
  <c r="Y21" i="12"/>
  <c r="Y18" i="12"/>
  <c r="L31" i="11"/>
  <c r="Y31" i="11" s="1"/>
  <c r="Y21" i="11"/>
  <c r="L18" i="11"/>
  <c r="Y18" i="11" s="1"/>
  <c r="L16" i="11"/>
  <c r="Y16" i="11" s="1"/>
  <c r="L31" i="10"/>
  <c r="Y31" i="10" s="1"/>
  <c r="L31" i="9"/>
  <c r="Y31" i="9" s="1"/>
  <c r="L26" i="9"/>
  <c r="Y26" i="9" s="1"/>
  <c r="Y23" i="9"/>
  <c r="L21" i="9"/>
  <c r="Y21" i="9" s="1"/>
  <c r="Y31" i="8"/>
  <c r="L21" i="8"/>
  <c r="Y21" i="8" s="1"/>
  <c r="L26" i="7"/>
  <c r="Y26" i="7" s="1"/>
  <c r="Y21" i="7"/>
  <c r="L31" i="6"/>
  <c r="Y31" i="6" s="1"/>
  <c r="Y23" i="6"/>
  <c r="L21" i="6"/>
  <c r="Y21" i="6" s="1"/>
  <c r="Y31" i="5"/>
  <c r="L26" i="5"/>
  <c r="Y26" i="5" s="1"/>
  <c r="L21" i="5"/>
  <c r="Y21" i="5" s="1"/>
  <c r="L26" i="4"/>
  <c r="Y26" i="4" s="1"/>
  <c r="Y21" i="4"/>
  <c r="L18" i="4"/>
  <c r="Y18" i="4" s="1"/>
  <c r="L34" i="3"/>
  <c r="Y34" i="3" s="1"/>
  <c r="L31" i="3"/>
  <c r="Y31" i="3" s="1"/>
  <c r="L26" i="3"/>
  <c r="Y26" i="3" s="1"/>
  <c r="Y23" i="3"/>
  <c r="Y21" i="3"/>
  <c r="K31" i="13"/>
  <c r="X31" i="13" s="1"/>
  <c r="X26" i="13"/>
  <c r="X23" i="13"/>
  <c r="X16" i="13"/>
  <c r="K34" i="12"/>
  <c r="X34" i="12" s="1"/>
  <c r="K26" i="12"/>
  <c r="X26" i="12" s="1"/>
  <c r="X21" i="12"/>
  <c r="X21" i="11"/>
  <c r="K18" i="11"/>
  <c r="X18" i="11" s="1"/>
  <c r="K16" i="11"/>
  <c r="X16" i="11" s="1"/>
  <c r="X26" i="10"/>
  <c r="X23" i="10"/>
  <c r="X21" i="10"/>
  <c r="X16" i="10"/>
  <c r="K26" i="9"/>
  <c r="K21" i="9"/>
  <c r="X21" i="9" s="1"/>
  <c r="X31" i="8"/>
  <c r="K26" i="8"/>
  <c r="X26" i="8" s="1"/>
  <c r="K21" i="8"/>
  <c r="X21" i="8" s="1"/>
  <c r="X16" i="8"/>
  <c r="K26" i="7"/>
  <c r="X26" i="7" s="1"/>
  <c r="X23" i="7"/>
  <c r="X21" i="7"/>
  <c r="X16" i="7"/>
  <c r="K31" i="6"/>
  <c r="X31" i="6" s="1"/>
  <c r="X23" i="6"/>
  <c r="K21" i="6"/>
  <c r="X21" i="6" s="1"/>
  <c r="X16" i="6"/>
  <c r="X31" i="5"/>
  <c r="K26" i="5"/>
  <c r="X26" i="5" s="1"/>
  <c r="K21" i="5"/>
  <c r="X21" i="5" s="1"/>
  <c r="X16" i="5"/>
  <c r="K26" i="4"/>
  <c r="X21" i="4"/>
  <c r="K18" i="4"/>
  <c r="X18" i="4" s="1"/>
  <c r="K16" i="4"/>
  <c r="X16" i="4" s="1"/>
  <c r="K31" i="3"/>
  <c r="X31" i="3" s="1"/>
  <c r="K26" i="3"/>
  <c r="X26" i="3" s="1"/>
  <c r="X23" i="3"/>
  <c r="K21" i="3"/>
  <c r="X21" i="3" s="1"/>
  <c r="X23" i="2"/>
  <c r="J34" i="13"/>
  <c r="W34" i="13" s="1"/>
  <c r="J26" i="13"/>
  <c r="W26" i="13" s="1"/>
  <c r="J34" i="12"/>
  <c r="W34" i="12" s="1"/>
  <c r="J26" i="12"/>
  <c r="W26" i="12" s="1"/>
  <c r="W21" i="12"/>
  <c r="J18" i="12"/>
  <c r="W18" i="12" s="1"/>
  <c r="J34" i="11"/>
  <c r="W34" i="11" s="1"/>
  <c r="J31" i="11"/>
  <c r="W31" i="11" s="1"/>
  <c r="J26" i="11"/>
  <c r="W26" i="11" s="1"/>
  <c r="J18" i="11"/>
  <c r="W18" i="11" s="1"/>
  <c r="J31" i="10"/>
  <c r="W31" i="10" s="1"/>
  <c r="J26" i="10"/>
  <c r="W26" i="10" s="1"/>
  <c r="J21" i="9"/>
  <c r="J16" i="9"/>
  <c r="W16" i="9" s="1"/>
  <c r="J26" i="8"/>
  <c r="W26" i="8" s="1"/>
  <c r="J21" i="8"/>
  <c r="W21" i="8" s="1"/>
  <c r="J26" i="7"/>
  <c r="W26" i="7" s="1"/>
  <c r="J18" i="5"/>
  <c r="W18" i="5" s="1"/>
  <c r="J16" i="5"/>
  <c r="W16" i="5" s="1"/>
  <c r="J18" i="4"/>
  <c r="J16" i="4"/>
  <c r="W16" i="4" s="1"/>
  <c r="J26" i="3"/>
  <c r="W26" i="3" s="1"/>
  <c r="J18" i="3"/>
  <c r="W18" i="3" s="1"/>
  <c r="J16" i="3"/>
  <c r="W16" i="3" s="1"/>
  <c r="W21" i="2"/>
  <c r="J18" i="2"/>
  <c r="W18" i="2" s="1"/>
  <c r="I21" i="13"/>
  <c r="V21" i="13" s="1"/>
  <c r="I34" i="12"/>
  <c r="V34" i="12" s="1"/>
  <c r="I26" i="12"/>
  <c r="V26" i="12" s="1"/>
  <c r="I34" i="11"/>
  <c r="V34" i="11" s="1"/>
  <c r="I26" i="11"/>
  <c r="V26" i="11" s="1"/>
  <c r="I18" i="11"/>
  <c r="V18" i="11" s="1"/>
  <c r="I16" i="11"/>
  <c r="V16" i="11" s="1"/>
  <c r="I21" i="10"/>
  <c r="V21" i="10" s="1"/>
  <c r="I16" i="9"/>
  <c r="V16" i="9" s="1"/>
  <c r="I26" i="8"/>
  <c r="V26" i="8" s="1"/>
  <c r="I21" i="8"/>
  <c r="V21" i="8" s="1"/>
  <c r="I26" i="7"/>
  <c r="V26" i="7" s="1"/>
  <c r="I18" i="5"/>
  <c r="V18" i="5" s="1"/>
  <c r="I16" i="5"/>
  <c r="V16" i="5" s="1"/>
  <c r="I26" i="4"/>
  <c r="V26" i="4" s="1"/>
  <c r="I16" i="4"/>
  <c r="V16" i="4" s="1"/>
  <c r="I18" i="3"/>
  <c r="V18" i="3" s="1"/>
  <c r="I31" i="2"/>
  <c r="V31" i="2" s="1"/>
  <c r="I18" i="2"/>
  <c r="V18" i="2" s="1"/>
  <c r="H34" i="12"/>
  <c r="U34" i="12" s="1"/>
  <c r="H31" i="12"/>
  <c r="U31" i="12" s="1"/>
  <c r="U23" i="11"/>
  <c r="H18" i="11"/>
  <c r="U18" i="11" s="1"/>
  <c r="H16" i="11"/>
  <c r="U16" i="11" s="1"/>
  <c r="H21" i="10"/>
  <c r="U21" i="10" s="1"/>
  <c r="F15" i="10"/>
  <c r="H26" i="9"/>
  <c r="U26" i="9" s="1"/>
  <c r="H16" i="9"/>
  <c r="H26" i="6"/>
  <c r="U26" i="6" s="1"/>
  <c r="H16" i="5"/>
  <c r="U16" i="5" s="1"/>
  <c r="H16" i="4"/>
  <c r="U16" i="4" s="1"/>
  <c r="H18" i="3"/>
  <c r="U18" i="3" s="1"/>
  <c r="H31" i="2"/>
  <c r="U31" i="2" s="1"/>
  <c r="H18" i="2"/>
  <c r="T23" i="6"/>
  <c r="T23" i="5"/>
  <c r="G34" i="13"/>
  <c r="T34" i="13" s="1"/>
  <c r="G28" i="13"/>
  <c r="G34" i="12"/>
  <c r="T34" i="12" s="1"/>
  <c r="G21" i="12"/>
  <c r="T21" i="12" s="1"/>
  <c r="T16" i="12"/>
  <c r="G16" i="11"/>
  <c r="T16" i="11" s="1"/>
  <c r="G18" i="9"/>
  <c r="T18" i="9" s="1"/>
  <c r="G16" i="9"/>
  <c r="T16" i="9" s="1"/>
  <c r="G31" i="8"/>
  <c r="T31" i="8" s="1"/>
  <c r="G18" i="8"/>
  <c r="T18" i="8" s="1"/>
  <c r="T34" i="6"/>
  <c r="G31" i="6"/>
  <c r="T31" i="6" s="1"/>
  <c r="T34" i="5"/>
  <c r="T31" i="5"/>
  <c r="G16" i="5"/>
  <c r="T16" i="5" s="1"/>
  <c r="T23" i="4"/>
  <c r="T21" i="4"/>
  <c r="T16" i="4"/>
  <c r="G34" i="2"/>
  <c r="T34" i="2" s="1"/>
  <c r="AE23" i="13"/>
  <c r="R34" i="12"/>
  <c r="AE34" i="12" s="1"/>
  <c r="AE23" i="12"/>
  <c r="R18" i="12"/>
  <c r="AE18" i="12" s="1"/>
  <c r="AE16" i="12"/>
  <c r="R16" i="11"/>
  <c r="AE16" i="11" s="1"/>
  <c r="AE23" i="9"/>
  <c r="R16" i="9"/>
  <c r="AE16" i="9" s="1"/>
  <c r="R34" i="8"/>
  <c r="AE34" i="8" s="1"/>
  <c r="Q34" i="8"/>
  <c r="AD34" i="8" s="1"/>
  <c r="P34" i="8"/>
  <c r="AC34" i="8" s="1"/>
  <c r="AE23" i="8"/>
  <c r="AE34" i="7"/>
  <c r="R31" i="7"/>
  <c r="AE31" i="7" s="1"/>
  <c r="AE34" i="5"/>
  <c r="R16" i="5"/>
  <c r="AE16" i="5" s="1"/>
  <c r="R16" i="3"/>
  <c r="AE16" i="3" s="1"/>
  <c r="R34" i="2"/>
  <c r="AE34" i="2" s="1"/>
  <c r="Q34" i="12"/>
  <c r="AD34" i="12" s="1"/>
  <c r="AD16" i="12"/>
  <c r="AD23" i="10"/>
  <c r="Q31" i="8"/>
  <c r="AD31" i="8" s="1"/>
  <c r="AD23" i="8"/>
  <c r="AD34" i="7"/>
  <c r="Q18" i="7"/>
  <c r="AD18" i="7" s="1"/>
  <c r="Q31" i="5"/>
  <c r="AD31" i="5" s="1"/>
  <c r="AD16" i="5"/>
  <c r="Q31" i="3"/>
  <c r="AD31" i="3" s="1"/>
  <c r="Q16" i="3"/>
  <c r="AD16" i="3" s="1"/>
  <c r="Q34" i="2"/>
  <c r="P31" i="12"/>
  <c r="AC31" i="12" s="1"/>
  <c r="AC16" i="12"/>
  <c r="P16" i="11"/>
  <c r="AC16" i="11" s="1"/>
  <c r="AC23" i="10"/>
  <c r="P16" i="9"/>
  <c r="AC16" i="9" s="1"/>
  <c r="P31" i="7"/>
  <c r="AC31" i="7" s="1"/>
  <c r="AC21" i="7"/>
  <c r="P18" i="7"/>
  <c r="AC18" i="7" s="1"/>
  <c r="AC34" i="6"/>
  <c r="P31" i="6"/>
  <c r="AC31" i="6" s="1"/>
  <c r="P16" i="5"/>
  <c r="AC16" i="5" s="1"/>
  <c r="AC21" i="4"/>
  <c r="P31" i="3"/>
  <c r="AC31" i="3" s="1"/>
  <c r="P34" i="2"/>
  <c r="AC34" i="2" s="1"/>
  <c r="AB23" i="13"/>
  <c r="O18" i="13"/>
  <c r="AB18" i="13" s="1"/>
  <c r="O31" i="12"/>
  <c r="AB31" i="12" s="1"/>
  <c r="O18" i="12"/>
  <c r="AB18" i="12" s="1"/>
  <c r="AB16" i="12"/>
  <c r="O31" i="11"/>
  <c r="AB31" i="11" s="1"/>
  <c r="AB23" i="11"/>
  <c r="AB21" i="11"/>
  <c r="O18" i="10"/>
  <c r="AB18" i="10" s="1"/>
  <c r="O18" i="9"/>
  <c r="AB18" i="9" s="1"/>
  <c r="AB16" i="9"/>
  <c r="O34" i="8"/>
  <c r="AB34" i="8" s="1"/>
  <c r="O31" i="8"/>
  <c r="AB31" i="8" s="1"/>
  <c r="O18" i="8"/>
  <c r="AB18" i="8" s="1"/>
  <c r="O31" i="7"/>
  <c r="AB31" i="7" s="1"/>
  <c r="O21" i="7"/>
  <c r="AB21" i="7" s="1"/>
  <c r="O18" i="7"/>
  <c r="AB18" i="7" s="1"/>
  <c r="O18" i="6"/>
  <c r="AB18" i="6" s="1"/>
  <c r="AB34" i="5"/>
  <c r="O31" i="5"/>
  <c r="AB31" i="5" s="1"/>
  <c r="O18" i="5"/>
  <c r="AB18" i="5" s="1"/>
  <c r="O18" i="4"/>
  <c r="AB18" i="4" s="1"/>
  <c r="O18" i="2"/>
  <c r="AB18" i="2" s="1"/>
  <c r="AA18" i="13"/>
  <c r="N31" i="12"/>
  <c r="AA31" i="12" s="1"/>
  <c r="AA21" i="12"/>
  <c r="AA16" i="12"/>
  <c r="AA34" i="11"/>
  <c r="AA26" i="11"/>
  <c r="N34" i="9"/>
  <c r="AA34" i="9" s="1"/>
  <c r="AA23" i="9"/>
  <c r="AA16" i="9"/>
  <c r="N34" i="8"/>
  <c r="AA34" i="8" s="1"/>
  <c r="AA34" i="7"/>
  <c r="N31" i="7"/>
  <c r="AA31" i="7" s="1"/>
  <c r="N18" i="7"/>
  <c r="AA18" i="7" s="1"/>
  <c r="AA16" i="4"/>
  <c r="N31" i="2"/>
  <c r="AA31" i="2" s="1"/>
  <c r="N18" i="2"/>
  <c r="AA18" i="2" s="1"/>
  <c r="AA16" i="2"/>
  <c r="M31" i="12"/>
  <c r="Z31" i="12" s="1"/>
  <c r="Z16" i="12"/>
  <c r="M31" i="11"/>
  <c r="Z31" i="11" s="1"/>
  <c r="M31" i="10"/>
  <c r="Z31" i="10" s="1"/>
  <c r="M34" i="9"/>
  <c r="Z34" i="9" s="1"/>
  <c r="M18" i="9"/>
  <c r="Z18" i="9" s="1"/>
  <c r="M16" i="9"/>
  <c r="Z16" i="9" s="1"/>
  <c r="M34" i="8"/>
  <c r="Z34" i="8" s="1"/>
  <c r="M34" i="7"/>
  <c r="Z34" i="7" s="1"/>
  <c r="M31" i="7"/>
  <c r="Z31" i="7" s="1"/>
  <c r="M18" i="7"/>
  <c r="Z18" i="7" s="1"/>
  <c r="Z34" i="5"/>
  <c r="Y23" i="13"/>
  <c r="Y23" i="10"/>
  <c r="Y23" i="4"/>
  <c r="Y21" i="13"/>
  <c r="Y23" i="11"/>
  <c r="L34" i="9"/>
  <c r="Y34" i="9" s="1"/>
  <c r="L18" i="9"/>
  <c r="Y18" i="9" s="1"/>
  <c r="L34" i="8"/>
  <c r="Y34" i="8" s="1"/>
  <c r="L18" i="8"/>
  <c r="Y18" i="8" s="1"/>
  <c r="L31" i="7"/>
  <c r="Y31" i="7" s="1"/>
  <c r="L18" i="7"/>
  <c r="Y18" i="7" s="1"/>
  <c r="Y16" i="7"/>
  <c r="L26" i="6"/>
  <c r="Y26" i="6" s="1"/>
  <c r="L18" i="6"/>
  <c r="Y16" i="6"/>
  <c r="Y34" i="5"/>
  <c r="Y23" i="5"/>
  <c r="L18" i="5"/>
  <c r="Y18" i="5" s="1"/>
  <c r="Y16" i="4"/>
  <c r="Y26" i="2"/>
  <c r="Y21" i="2"/>
  <c r="K18" i="13"/>
  <c r="X18" i="13" s="1"/>
  <c r="X23" i="12"/>
  <c r="K18" i="12"/>
  <c r="X18" i="12" s="1"/>
  <c r="X34" i="11"/>
  <c r="X26" i="11"/>
  <c r="K34" i="9"/>
  <c r="X34" i="9" s="1"/>
  <c r="K18" i="9"/>
  <c r="X18" i="9" s="1"/>
  <c r="K34" i="8"/>
  <c r="X34" i="8" s="1"/>
  <c r="K18" i="8"/>
  <c r="X18" i="8" s="1"/>
  <c r="K31" i="7"/>
  <c r="X31" i="7" s="1"/>
  <c r="K18" i="7"/>
  <c r="X18" i="7" s="1"/>
  <c r="K26" i="6"/>
  <c r="X26" i="6" s="1"/>
  <c r="K18" i="6"/>
  <c r="X18" i="6" s="1"/>
  <c r="X23" i="5"/>
  <c r="K18" i="5"/>
  <c r="X18" i="5" s="1"/>
  <c r="K16" i="3"/>
  <c r="X16" i="3" s="1"/>
  <c r="X26" i="2"/>
  <c r="K18" i="2"/>
  <c r="X18" i="2" s="1"/>
  <c r="J31" i="12"/>
  <c r="W31" i="12" s="1"/>
  <c r="J34" i="9"/>
  <c r="W34" i="9" s="1"/>
  <c r="J34" i="8"/>
  <c r="W34" i="8" s="1"/>
  <c r="J31" i="7"/>
  <c r="W31" i="7" s="1"/>
  <c r="J18" i="7"/>
  <c r="W18" i="7" s="1"/>
  <c r="J26" i="6"/>
  <c r="W26" i="6" s="1"/>
  <c r="J26" i="5"/>
  <c r="W26" i="5" s="1"/>
  <c r="J21" i="3"/>
  <c r="W21" i="3" s="1"/>
  <c r="I34" i="13"/>
  <c r="V34" i="13" s="1"/>
  <c r="I18" i="12"/>
  <c r="V18" i="12" s="1"/>
  <c r="I31" i="11"/>
  <c r="V31" i="11" s="1"/>
  <c r="I34" i="9"/>
  <c r="V34" i="9" s="1"/>
  <c r="G34" i="8"/>
  <c r="T34" i="8" s="1"/>
  <c r="U34" i="8"/>
  <c r="I34" i="8"/>
  <c r="V34" i="8" s="1"/>
  <c r="I21" i="6"/>
  <c r="V21" i="6" s="1"/>
  <c r="I31" i="5"/>
  <c r="V31" i="5" s="1"/>
  <c r="R31" i="4"/>
  <c r="AE31" i="4" s="1"/>
  <c r="Q31" i="4"/>
  <c r="AD31" i="4" s="1"/>
  <c r="P31" i="4"/>
  <c r="AC31" i="4" s="1"/>
  <c r="O31" i="4"/>
  <c r="AB31" i="4" s="1"/>
  <c r="N31" i="4"/>
  <c r="AA31" i="4" s="1"/>
  <c r="M31" i="4"/>
  <c r="Z31" i="4" s="1"/>
  <c r="L31" i="4"/>
  <c r="Y31" i="4" s="1"/>
  <c r="K31" i="4"/>
  <c r="X31" i="4" s="1"/>
  <c r="J31" i="4"/>
  <c r="W31" i="4" s="1"/>
  <c r="I31" i="4"/>
  <c r="V31" i="4" s="1"/>
  <c r="I31" i="3"/>
  <c r="V31" i="3" s="1"/>
  <c r="I21" i="3"/>
  <c r="V21" i="3" s="1"/>
  <c r="I16" i="3"/>
  <c r="I26" i="2"/>
  <c r="H28" i="13"/>
  <c r="H26" i="1" s="1"/>
  <c r="H31" i="11"/>
  <c r="U31" i="11" s="1"/>
  <c r="H34" i="9"/>
  <c r="U34" i="9" s="1"/>
  <c r="H26" i="8"/>
  <c r="H31" i="6"/>
  <c r="U31" i="6" s="1"/>
  <c r="H31" i="5"/>
  <c r="U31" i="5" s="1"/>
  <c r="H31" i="4"/>
  <c r="U31" i="4" s="1"/>
  <c r="H16" i="3"/>
  <c r="U16" i="3" s="1"/>
  <c r="G31" i="12"/>
  <c r="T31" i="12" s="1"/>
  <c r="G31" i="11"/>
  <c r="T31" i="11" s="1"/>
  <c r="G31" i="9"/>
  <c r="T31" i="9" s="1"/>
  <c r="T16" i="8"/>
  <c r="G18" i="7"/>
  <c r="T18" i="7" s="1"/>
  <c r="T18" i="4"/>
  <c r="G26" i="3"/>
  <c r="T26" i="3" s="1"/>
  <c r="R31" i="11"/>
  <c r="AE31" i="11" s="1"/>
  <c r="AE21" i="10"/>
  <c r="R31" i="9"/>
  <c r="AE31" i="9" s="1"/>
  <c r="R31" i="8"/>
  <c r="AE31" i="8" s="1"/>
  <c r="R31" i="6"/>
  <c r="AE31" i="6" s="1"/>
  <c r="AE21" i="5"/>
  <c r="R31" i="3"/>
  <c r="AE31" i="3" s="1"/>
  <c r="R31" i="2"/>
  <c r="AE31" i="2" s="1"/>
  <c r="AD21" i="11"/>
  <c r="AD21" i="10"/>
  <c r="Q31" i="6"/>
  <c r="AD31" i="6" s="1"/>
  <c r="AD34" i="5"/>
  <c r="AD21" i="5"/>
  <c r="AD21" i="3"/>
  <c r="P31" i="2"/>
  <c r="AC31" i="2" s="1"/>
  <c r="U23" i="12"/>
  <c r="AE23" i="3"/>
  <c r="T23" i="2"/>
  <c r="O31" i="2"/>
  <c r="AB31" i="2" s="1"/>
  <c r="AA23" i="12"/>
  <c r="AA23" i="11"/>
  <c r="AA26" i="10"/>
  <c r="AA18" i="9"/>
  <c r="F33" i="8"/>
  <c r="N18" i="8"/>
  <c r="AA23" i="6"/>
  <c r="N18" i="6"/>
  <c r="AA18" i="6" s="1"/>
  <c r="N18" i="5"/>
  <c r="AA18" i="5" s="1"/>
  <c r="AA21" i="4"/>
  <c r="N18" i="4"/>
  <c r="AA18" i="4" s="1"/>
  <c r="AA23" i="3"/>
  <c r="AA21" i="2"/>
  <c r="Z26" i="13"/>
  <c r="Z26" i="10"/>
  <c r="Z21" i="8"/>
  <c r="Z34" i="6"/>
  <c r="Z31" i="6"/>
  <c r="M16" i="2"/>
  <c r="Z16" i="2" s="1"/>
  <c r="Y26" i="13"/>
  <c r="Y34" i="11"/>
  <c r="Y26" i="11"/>
  <c r="Y21" i="10"/>
  <c r="Y16" i="10"/>
  <c r="L16" i="9"/>
  <c r="Y16" i="9" s="1"/>
  <c r="L34" i="2"/>
  <c r="Y34" i="2" s="1"/>
  <c r="L31" i="2"/>
  <c r="Y31" i="2" s="1"/>
  <c r="L18" i="2"/>
  <c r="Y18" i="2" s="1"/>
  <c r="L16" i="2"/>
  <c r="Y16" i="2" s="1"/>
  <c r="X21" i="13"/>
  <c r="K16" i="9"/>
  <c r="X16" i="9" s="1"/>
  <c r="K34" i="2"/>
  <c r="X34" i="2" s="1"/>
  <c r="J21" i="6"/>
  <c r="W21" i="6" s="1"/>
  <c r="J31" i="3"/>
  <c r="W31" i="3" s="1"/>
  <c r="I34" i="7"/>
  <c r="V34" i="7" s="1"/>
  <c r="H34" i="13"/>
  <c r="U34" i="13" s="1"/>
  <c r="H26" i="13"/>
  <c r="U26" i="13" s="1"/>
  <c r="H21" i="13"/>
  <c r="U21" i="13" s="1"/>
  <c r="H26" i="12"/>
  <c r="U26" i="12" s="1"/>
  <c r="H18" i="12"/>
  <c r="U18" i="12" s="1"/>
  <c r="H31" i="10"/>
  <c r="U31" i="10" s="1"/>
  <c r="U23" i="10"/>
  <c r="H31" i="8"/>
  <c r="U31" i="8" s="1"/>
  <c r="H31" i="3"/>
  <c r="U23" i="3"/>
  <c r="T21" i="13"/>
  <c r="R34" i="13"/>
  <c r="AA34" i="13"/>
  <c r="F33" i="13"/>
  <c r="AB31" i="13"/>
  <c r="F30" i="13"/>
  <c r="R28" i="13"/>
  <c r="R26" i="1" s="1"/>
  <c r="F27" i="13"/>
  <c r="F25" i="13"/>
  <c r="F22" i="13"/>
  <c r="F20" i="13"/>
  <c r="M18" i="13"/>
  <c r="Z18" i="13" s="1"/>
  <c r="L18" i="13"/>
  <c r="Y18" i="13" s="1"/>
  <c r="F17" i="13"/>
  <c r="F15" i="13"/>
  <c r="G26" i="12"/>
  <c r="T26" i="12" s="1"/>
  <c r="T23" i="12"/>
  <c r="AB34" i="12"/>
  <c r="F33" i="12"/>
  <c r="Q31" i="12"/>
  <c r="AD31" i="12" s="1"/>
  <c r="L31" i="12"/>
  <c r="Y31" i="12" s="1"/>
  <c r="K31" i="12"/>
  <c r="X31" i="12" s="1"/>
  <c r="I31" i="12"/>
  <c r="V31" i="12" s="1"/>
  <c r="F30" i="12"/>
  <c r="F28" i="12"/>
  <c r="F27" i="12"/>
  <c r="R26" i="12"/>
  <c r="AE26" i="12" s="1"/>
  <c r="Q26" i="12"/>
  <c r="AD26" i="12" s="1"/>
  <c r="AC26" i="12"/>
  <c r="F25" i="12"/>
  <c r="F22" i="12"/>
  <c r="AE21" i="12"/>
  <c r="V21" i="12"/>
  <c r="U21" i="12"/>
  <c r="F20" i="12"/>
  <c r="F17" i="12"/>
  <c r="X16" i="12"/>
  <c r="F15" i="12"/>
  <c r="G34" i="11"/>
  <c r="T34" i="11" s="1"/>
  <c r="R34" i="11"/>
  <c r="AE34" i="11" s="1"/>
  <c r="AD34" i="11"/>
  <c r="F33" i="11"/>
  <c r="N31" i="11"/>
  <c r="AA31" i="11" s="1"/>
  <c r="K31" i="11"/>
  <c r="X31" i="11" s="1"/>
  <c r="F30" i="11"/>
  <c r="F28" i="11"/>
  <c r="F27" i="11"/>
  <c r="H26" i="11"/>
  <c r="U26" i="11" s="1"/>
  <c r="F25" i="11"/>
  <c r="F22" i="11"/>
  <c r="F20" i="11"/>
  <c r="F17" i="11"/>
  <c r="F15" i="11"/>
  <c r="T26" i="10"/>
  <c r="T21" i="10"/>
  <c r="G18" i="10"/>
  <c r="T18" i="10" s="1"/>
  <c r="R34" i="10"/>
  <c r="AE34" i="10" s="1"/>
  <c r="Q34" i="10"/>
  <c r="AD34" i="10" s="1"/>
  <c r="AC34" i="10"/>
  <c r="O34" i="10"/>
  <c r="AB34" i="10" s="1"/>
  <c r="N34" i="10"/>
  <c r="AA34" i="10" s="1"/>
  <c r="M34" i="10"/>
  <c r="Z34" i="10" s="1"/>
  <c r="L34" i="10"/>
  <c r="Y34" i="10" s="1"/>
  <c r="K34" i="10"/>
  <c r="X34" i="10" s="1"/>
  <c r="J34" i="10"/>
  <c r="W34" i="10" s="1"/>
  <c r="I34" i="10"/>
  <c r="V34" i="10" s="1"/>
  <c r="H34" i="10"/>
  <c r="U34" i="10" s="1"/>
  <c r="F33" i="10"/>
  <c r="AB31" i="10"/>
  <c r="N31" i="10"/>
  <c r="AA31" i="10" s="1"/>
  <c r="K31" i="10"/>
  <c r="I31" i="10"/>
  <c r="V31" i="10" s="1"/>
  <c r="F30" i="10"/>
  <c r="F28" i="10"/>
  <c r="F27" i="10"/>
  <c r="R26" i="10"/>
  <c r="AE26" i="10" s="1"/>
  <c r="AC26" i="10"/>
  <c r="I26" i="10"/>
  <c r="V26" i="10" s="1"/>
  <c r="F25" i="10"/>
  <c r="F20" i="10"/>
  <c r="R18" i="10"/>
  <c r="AE18" i="10" s="1"/>
  <c r="Q18" i="10"/>
  <c r="AD18" i="10" s="1"/>
  <c r="N18" i="10"/>
  <c r="AA18" i="10" s="1"/>
  <c r="M18" i="10"/>
  <c r="Z18" i="10" s="1"/>
  <c r="K18" i="10"/>
  <c r="X18" i="10" s="1"/>
  <c r="J18" i="10"/>
  <c r="W18" i="10" s="1"/>
  <c r="I18" i="10"/>
  <c r="V18" i="10" s="1"/>
  <c r="H18" i="10"/>
  <c r="U18" i="10" s="1"/>
  <c r="F17" i="10"/>
  <c r="Z16" i="10"/>
  <c r="T23" i="9"/>
  <c r="R34" i="9"/>
  <c r="AE34" i="9" s="1"/>
  <c r="Q34" i="9"/>
  <c r="AD34" i="9" s="1"/>
  <c r="P34" i="9"/>
  <c r="O34" i="9"/>
  <c r="AB34" i="9" s="1"/>
  <c r="G34" i="9"/>
  <c r="T34" i="9" s="1"/>
  <c r="F33" i="9"/>
  <c r="Q31" i="9"/>
  <c r="AD31" i="9" s="1"/>
  <c r="P31" i="9"/>
  <c r="AC31" i="9" s="1"/>
  <c r="O31" i="9"/>
  <c r="AB31" i="9" s="1"/>
  <c r="AA31" i="9"/>
  <c r="K31" i="9"/>
  <c r="X31" i="9" s="1"/>
  <c r="J31" i="9"/>
  <c r="W31" i="9" s="1"/>
  <c r="F30" i="9"/>
  <c r="F28" i="9"/>
  <c r="F27" i="9"/>
  <c r="J26" i="9"/>
  <c r="W26" i="9" s="1"/>
  <c r="I26" i="9"/>
  <c r="V26" i="9" s="1"/>
  <c r="F25" i="9"/>
  <c r="F22" i="9"/>
  <c r="AE21" i="9"/>
  <c r="F20" i="9"/>
  <c r="F17" i="9"/>
  <c r="AD16" i="9"/>
  <c r="F15" i="9"/>
  <c r="P31" i="8"/>
  <c r="AC31" i="8" s="1"/>
  <c r="N31" i="8"/>
  <c r="AA31" i="8" s="1"/>
  <c r="F30" i="8"/>
  <c r="F28" i="8"/>
  <c r="F27" i="8"/>
  <c r="AD26" i="8"/>
  <c r="AC26" i="8"/>
  <c r="AB26" i="8"/>
  <c r="Z26" i="8"/>
  <c r="F25" i="8"/>
  <c r="F22" i="8"/>
  <c r="F20" i="8"/>
  <c r="M18" i="8"/>
  <c r="Z18" i="8" s="1"/>
  <c r="F17" i="8"/>
  <c r="AA16" i="8"/>
  <c r="AC34" i="7"/>
  <c r="L34" i="7"/>
  <c r="Y34" i="7" s="1"/>
  <c r="K34" i="7"/>
  <c r="X34" i="7" s="1"/>
  <c r="J34" i="7"/>
  <c r="H34" i="7"/>
  <c r="U34" i="7" s="1"/>
  <c r="F33" i="7"/>
  <c r="I31" i="7"/>
  <c r="V31" i="7" s="1"/>
  <c r="H31" i="7"/>
  <c r="U31" i="7" s="1"/>
  <c r="F30" i="7"/>
  <c r="F28" i="7"/>
  <c r="F27" i="7"/>
  <c r="F25" i="7"/>
  <c r="F22" i="7"/>
  <c r="F20" i="7"/>
  <c r="F17" i="7"/>
  <c r="F15" i="7"/>
  <c r="AE34" i="6"/>
  <c r="AD34" i="6"/>
  <c r="AB34" i="6"/>
  <c r="AA34" i="6"/>
  <c r="V34" i="6"/>
  <c r="O31" i="6"/>
  <c r="AB31" i="6" s="1"/>
  <c r="N31" i="6"/>
  <c r="AA31" i="6" s="1"/>
  <c r="J31" i="6"/>
  <c r="W31" i="6" s="1"/>
  <c r="I31" i="6"/>
  <c r="V31" i="6" s="1"/>
  <c r="F30" i="6"/>
  <c r="F28" i="6"/>
  <c r="F27" i="6"/>
  <c r="F25" i="6"/>
  <c r="F22" i="6"/>
  <c r="F20" i="6"/>
  <c r="M18" i="6"/>
  <c r="Z18" i="6" s="1"/>
  <c r="F17" i="6"/>
  <c r="F15" i="6"/>
  <c r="AC34" i="5"/>
  <c r="X34" i="5"/>
  <c r="V34" i="5"/>
  <c r="U34" i="5"/>
  <c r="R31" i="5"/>
  <c r="AE31" i="5" s="1"/>
  <c r="P31" i="5"/>
  <c r="AC31" i="5" s="1"/>
  <c r="N31" i="5"/>
  <c r="AA31" i="5" s="1"/>
  <c r="M31" i="5"/>
  <c r="Z31" i="5" s="1"/>
  <c r="F30" i="5"/>
  <c r="F28" i="5"/>
  <c r="F27" i="5"/>
  <c r="F25" i="5"/>
  <c r="F22" i="5"/>
  <c r="F20" i="5"/>
  <c r="M18" i="5"/>
  <c r="Z18" i="5" s="1"/>
  <c r="F17" i="5"/>
  <c r="F15" i="5"/>
  <c r="G31" i="4"/>
  <c r="T31" i="4" s="1"/>
  <c r="F30" i="4"/>
  <c r="F28" i="4"/>
  <c r="F27" i="4"/>
  <c r="AE26" i="4"/>
  <c r="F25" i="4"/>
  <c r="F22" i="4"/>
  <c r="F20" i="4"/>
  <c r="M18" i="4"/>
  <c r="Z18" i="4" s="1"/>
  <c r="F17" i="4"/>
  <c r="F15" i="4"/>
  <c r="G31" i="3"/>
  <c r="T31" i="3" s="1"/>
  <c r="X34" i="3"/>
  <c r="I34" i="3"/>
  <c r="F33" i="3"/>
  <c r="O31" i="3"/>
  <c r="AB31" i="3" s="1"/>
  <c r="F30" i="3"/>
  <c r="F28" i="3"/>
  <c r="F27" i="3"/>
  <c r="F25" i="3"/>
  <c r="F22" i="3"/>
  <c r="F20" i="3"/>
  <c r="M18" i="3"/>
  <c r="Z18" i="3" s="1"/>
  <c r="L18" i="3"/>
  <c r="Y18" i="3" s="1"/>
  <c r="K18" i="3"/>
  <c r="X18" i="3" s="1"/>
  <c r="F17" i="3"/>
  <c r="F15" i="3"/>
  <c r="M34" i="2"/>
  <c r="Z34" i="2" s="1"/>
  <c r="F33" i="2"/>
  <c r="Q31" i="2"/>
  <c r="AD31" i="2" s="1"/>
  <c r="M31" i="2"/>
  <c r="Z31" i="2" s="1"/>
  <c r="G31" i="2"/>
  <c r="T31" i="2" s="1"/>
  <c r="F30" i="2"/>
  <c r="F28" i="2"/>
  <c r="F27" i="2"/>
  <c r="AB26" i="2"/>
  <c r="F25" i="2"/>
  <c r="F20" i="2"/>
  <c r="M18" i="2"/>
  <c r="Z18" i="2" s="1"/>
  <c r="F17" i="2"/>
  <c r="X16" i="2"/>
  <c r="J16" i="2"/>
  <c r="W16" i="2" s="1"/>
  <c r="F15" i="2"/>
  <c r="F13" i="4"/>
  <c r="K7" i="2"/>
  <c r="K7" i="12" s="1"/>
  <c r="G15" i="1"/>
  <c r="E12" i="3"/>
  <c r="F13" i="3"/>
  <c r="Y16" i="3"/>
  <c r="T23" i="3"/>
  <c r="T37" i="3"/>
  <c r="U37" i="3"/>
  <c r="V37" i="3"/>
  <c r="W37" i="3"/>
  <c r="X37" i="3"/>
  <c r="Y37" i="3"/>
  <c r="Z37" i="3"/>
  <c r="AA37" i="3"/>
  <c r="AB37" i="3"/>
  <c r="AC37" i="3"/>
  <c r="AD37" i="3"/>
  <c r="AE37" i="3"/>
  <c r="T42" i="3"/>
  <c r="U42" i="3"/>
  <c r="V42" i="3"/>
  <c r="W42" i="3"/>
  <c r="X42" i="3"/>
  <c r="Y42" i="3"/>
  <c r="Z42" i="3"/>
  <c r="AA42" i="3"/>
  <c r="AB42" i="3"/>
  <c r="AC42" i="3"/>
  <c r="AD42" i="3"/>
  <c r="AE42" i="3"/>
  <c r="E12" i="4"/>
  <c r="U23" i="4"/>
  <c r="AE23" i="4"/>
  <c r="T26" i="4"/>
  <c r="T28" i="4"/>
  <c r="U28" i="4"/>
  <c r="T34" i="4"/>
  <c r="U34" i="4"/>
  <c r="V34" i="4"/>
  <c r="W34" i="4"/>
  <c r="X34" i="4"/>
  <c r="Y34" i="4"/>
  <c r="Z34" i="4"/>
  <c r="AB34" i="4"/>
  <c r="AC34" i="4"/>
  <c r="AD34" i="4"/>
  <c r="AE34" i="4"/>
  <c r="AA34" i="4"/>
  <c r="T37" i="4"/>
  <c r="U37" i="4"/>
  <c r="V37" i="4"/>
  <c r="W37" i="4"/>
  <c r="X37" i="4"/>
  <c r="Y37" i="4"/>
  <c r="Z37" i="4"/>
  <c r="AA37" i="4"/>
  <c r="AB37" i="4"/>
  <c r="AC37" i="4"/>
  <c r="AD37" i="4"/>
  <c r="AE37" i="4"/>
  <c r="T42" i="4"/>
  <c r="U42" i="4"/>
  <c r="V42" i="4"/>
  <c r="W42" i="4"/>
  <c r="X42" i="4"/>
  <c r="Y42" i="4"/>
  <c r="Z42" i="4"/>
  <c r="AA42" i="4"/>
  <c r="AB42" i="4"/>
  <c r="AC42" i="4"/>
  <c r="AD42" i="4"/>
  <c r="AE42" i="4"/>
  <c r="E12" i="2"/>
  <c r="E12" i="7" s="1"/>
  <c r="F13" i="2"/>
  <c r="F13" i="9" s="1"/>
  <c r="AA16" i="7"/>
  <c r="AA23" i="7"/>
  <c r="AE28" i="7"/>
  <c r="V37" i="7"/>
  <c r="W37" i="7"/>
  <c r="X37" i="7"/>
  <c r="Y37" i="7"/>
  <c r="Z37" i="7"/>
  <c r="AA37" i="7"/>
  <c r="AB37" i="7"/>
  <c r="AC37" i="7"/>
  <c r="AD37" i="7"/>
  <c r="AE37" i="7"/>
  <c r="AE39" i="7"/>
  <c r="V42" i="7"/>
  <c r="W42" i="7"/>
  <c r="X42" i="7"/>
  <c r="Y42" i="7"/>
  <c r="Z42" i="7"/>
  <c r="AA42" i="7"/>
  <c r="AB42" i="7"/>
  <c r="AC42" i="7"/>
  <c r="AD42" i="7"/>
  <c r="AE42" i="7"/>
  <c r="AE44" i="7"/>
  <c r="Y16" i="12"/>
  <c r="AB21" i="12"/>
  <c r="T28" i="12"/>
  <c r="U28" i="12"/>
  <c r="AD28" i="12"/>
  <c r="AE28" i="12"/>
  <c r="Z37" i="12"/>
  <c r="AA37" i="12"/>
  <c r="AB37" i="12"/>
  <c r="AC37" i="12"/>
  <c r="AD37" i="12"/>
  <c r="AE37" i="12"/>
  <c r="AD39" i="12"/>
  <c r="AE39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T44" i="12"/>
  <c r="U44" i="12"/>
  <c r="AD44" i="12"/>
  <c r="AE44" i="12"/>
  <c r="AB21" i="13"/>
  <c r="T26" i="13"/>
  <c r="AD28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T39" i="13"/>
  <c r="U39" i="13"/>
  <c r="AD39" i="13"/>
  <c r="AE39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T44" i="13"/>
  <c r="U44" i="13"/>
  <c r="AD44" i="13"/>
  <c r="AE44" i="13"/>
  <c r="AC16" i="2"/>
  <c r="AC21" i="2"/>
  <c r="AA23" i="2"/>
  <c r="AB23" i="2"/>
  <c r="T26" i="2"/>
  <c r="AE28" i="2"/>
  <c r="T37" i="2"/>
  <c r="U37" i="2"/>
  <c r="V37" i="2"/>
  <c r="W37" i="2"/>
  <c r="X37" i="2"/>
  <c r="Y37" i="2"/>
  <c r="Z37" i="2"/>
  <c r="AA37" i="2"/>
  <c r="AB37" i="2"/>
  <c r="AC37" i="2"/>
  <c r="AD37" i="2"/>
  <c r="AE37" i="2"/>
  <c r="T39" i="2"/>
  <c r="U39" i="2"/>
  <c r="AE39" i="2"/>
  <c r="T42" i="2"/>
  <c r="U42" i="2"/>
  <c r="V42" i="2"/>
  <c r="W42" i="2"/>
  <c r="X42" i="2"/>
  <c r="Y42" i="2"/>
  <c r="Z42" i="2"/>
  <c r="AA42" i="2"/>
  <c r="AB42" i="2"/>
  <c r="AC42" i="2"/>
  <c r="AD42" i="2"/>
  <c r="AE42" i="2"/>
  <c r="T44" i="2"/>
  <c r="U44" i="2"/>
  <c r="AE44" i="2"/>
  <c r="E12" i="1"/>
  <c r="I13" i="1"/>
  <c r="K13" i="1"/>
  <c r="M13" i="1"/>
  <c r="N13" i="1"/>
  <c r="O13" i="1"/>
  <c r="P13" i="1"/>
  <c r="Q13" i="1"/>
  <c r="R13" i="1"/>
  <c r="H15" i="1"/>
  <c r="I15" i="1"/>
  <c r="J15" i="1"/>
  <c r="K15" i="1"/>
  <c r="N15" i="1"/>
  <c r="O15" i="1"/>
  <c r="P15" i="1"/>
  <c r="Q15" i="1"/>
  <c r="R15" i="1"/>
  <c r="E17" i="1"/>
  <c r="G18" i="1"/>
  <c r="H18" i="1"/>
  <c r="I18" i="1"/>
  <c r="J18" i="1"/>
  <c r="K18" i="1"/>
  <c r="L18" i="1"/>
  <c r="M18" i="1"/>
  <c r="N18" i="1"/>
  <c r="O18" i="1"/>
  <c r="P18" i="1"/>
  <c r="Q18" i="1"/>
  <c r="R18" i="1"/>
  <c r="G20" i="1"/>
  <c r="H20" i="1"/>
  <c r="I20" i="1"/>
  <c r="J20" i="1"/>
  <c r="K20" i="1"/>
  <c r="L20" i="1"/>
  <c r="M20" i="1"/>
  <c r="N20" i="1"/>
  <c r="O20" i="1"/>
  <c r="P20" i="1"/>
  <c r="Q20" i="1"/>
  <c r="R20" i="1"/>
  <c r="E22" i="1"/>
  <c r="G23" i="1"/>
  <c r="H23" i="1"/>
  <c r="I23" i="1"/>
  <c r="L23" i="1"/>
  <c r="M23" i="1"/>
  <c r="N23" i="1"/>
  <c r="O23" i="1"/>
  <c r="Q23" i="1"/>
  <c r="R23" i="1"/>
  <c r="G25" i="1"/>
  <c r="H25" i="1"/>
  <c r="I25" i="1"/>
  <c r="J25" i="1"/>
  <c r="K25" i="1"/>
  <c r="L25" i="1"/>
  <c r="M25" i="1"/>
  <c r="N25" i="1"/>
  <c r="O25" i="1"/>
  <c r="P25" i="1"/>
  <c r="Q25" i="1"/>
  <c r="R25" i="1"/>
  <c r="J26" i="1"/>
  <c r="K26" i="1"/>
  <c r="L26" i="1"/>
  <c r="M26" i="1"/>
  <c r="N26" i="1"/>
  <c r="O26" i="1"/>
  <c r="P26" i="1"/>
  <c r="Q26" i="1"/>
  <c r="E27" i="1"/>
  <c r="H28" i="1"/>
  <c r="I28" i="1"/>
  <c r="K28" i="1"/>
  <c r="L28" i="1"/>
  <c r="M28" i="1"/>
  <c r="N28" i="1"/>
  <c r="O28" i="1"/>
  <c r="P28" i="1"/>
  <c r="Q28" i="1"/>
  <c r="E30" i="1"/>
  <c r="G31" i="1"/>
  <c r="H31" i="1"/>
  <c r="I31" i="1"/>
  <c r="J31" i="1"/>
  <c r="K31" i="1"/>
  <c r="L31" i="1"/>
  <c r="N31" i="1"/>
  <c r="O31" i="1"/>
  <c r="P31" i="1"/>
  <c r="Q31" i="1"/>
  <c r="R31" i="1"/>
  <c r="U35" i="1"/>
  <c r="T35" i="1" s="1"/>
  <c r="W35" i="1"/>
  <c r="X35" i="1"/>
  <c r="Y35" i="1"/>
  <c r="Z35" i="1"/>
  <c r="AA35" i="1"/>
  <c r="AC35" i="1"/>
  <c r="AD35" i="1"/>
  <c r="AE35" i="1"/>
  <c r="AF35" i="1"/>
  <c r="AB35" i="1"/>
  <c r="W37" i="1"/>
  <c r="X37" i="1"/>
  <c r="AD37" i="1"/>
  <c r="AE37" i="1"/>
  <c r="AF37" i="1"/>
  <c r="AB40" i="1"/>
  <c r="U40" i="1"/>
  <c r="T40" i="1" s="1"/>
  <c r="W40" i="1"/>
  <c r="X40" i="1"/>
  <c r="Y40" i="1"/>
  <c r="Z40" i="1"/>
  <c r="AA40" i="1"/>
  <c r="AC40" i="1"/>
  <c r="AD40" i="1"/>
  <c r="AE40" i="1"/>
  <c r="AF40" i="1"/>
  <c r="V40" i="1"/>
  <c r="T42" i="1"/>
  <c r="X42" i="1"/>
  <c r="AE42" i="1"/>
  <c r="AF42" i="1"/>
  <c r="U42" i="1"/>
  <c r="AE47" i="1"/>
  <c r="T47" i="1"/>
  <c r="Y47" i="1"/>
  <c r="Z47" i="1"/>
  <c r="AB47" i="1"/>
  <c r="AC47" i="1"/>
  <c r="AD47" i="1"/>
  <c r="AA47" i="1"/>
  <c r="AB16" i="8"/>
  <c r="X23" i="8"/>
  <c r="AB23" i="8"/>
  <c r="T26" i="8"/>
  <c r="T28" i="8"/>
  <c r="U28" i="8"/>
  <c r="AE28" i="8"/>
  <c r="T37" i="8"/>
  <c r="U37" i="8"/>
  <c r="V37" i="8"/>
  <c r="W37" i="8"/>
  <c r="X37" i="8"/>
  <c r="Y37" i="8"/>
  <c r="Z37" i="8"/>
  <c r="AA37" i="8"/>
  <c r="AB37" i="8"/>
  <c r="AC37" i="8"/>
  <c r="AD37" i="8"/>
  <c r="AE37" i="8"/>
  <c r="T39" i="8"/>
  <c r="U39" i="8"/>
  <c r="AE39" i="8"/>
  <c r="T42" i="8"/>
  <c r="U42" i="8"/>
  <c r="V42" i="8"/>
  <c r="W42" i="8"/>
  <c r="X42" i="8"/>
  <c r="Y42" i="8"/>
  <c r="Z42" i="8"/>
  <c r="AA42" i="8"/>
  <c r="AB42" i="8"/>
  <c r="AC42" i="8"/>
  <c r="AD42" i="8"/>
  <c r="AE42" i="8"/>
  <c r="T44" i="8"/>
  <c r="U44" i="8"/>
  <c r="AE44" i="8"/>
  <c r="T28" i="9"/>
  <c r="U28" i="9"/>
  <c r="AD28" i="9"/>
  <c r="AE28" i="9"/>
  <c r="T37" i="9"/>
  <c r="U37" i="9"/>
  <c r="V37" i="9"/>
  <c r="W37" i="9"/>
  <c r="X37" i="9"/>
  <c r="Y37" i="9"/>
  <c r="Z37" i="9"/>
  <c r="AA37" i="9"/>
  <c r="AB37" i="9"/>
  <c r="AC37" i="9"/>
  <c r="AD37" i="9"/>
  <c r="AE37" i="9"/>
  <c r="T39" i="9"/>
  <c r="U39" i="9"/>
  <c r="AD39" i="9"/>
  <c r="AE39" i="9"/>
  <c r="T42" i="9"/>
  <c r="U42" i="9"/>
  <c r="V42" i="9"/>
  <c r="W42" i="9"/>
  <c r="X42" i="9"/>
  <c r="Y42" i="9"/>
  <c r="Z42" i="9"/>
  <c r="AA42" i="9"/>
  <c r="AB42" i="9"/>
  <c r="AC42" i="9"/>
  <c r="AD42" i="9"/>
  <c r="AE42" i="9"/>
  <c r="T44" i="9"/>
  <c r="U44" i="9"/>
  <c r="AD44" i="9"/>
  <c r="AE44" i="9"/>
  <c r="T23" i="10"/>
  <c r="T28" i="10"/>
  <c r="U28" i="10"/>
  <c r="AD28" i="10"/>
  <c r="AE28" i="10"/>
  <c r="T34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T39" i="10"/>
  <c r="U39" i="10"/>
  <c r="AD39" i="10"/>
  <c r="AE39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T44" i="10"/>
  <c r="U44" i="10"/>
  <c r="AD44" i="10"/>
  <c r="AE44" i="10"/>
  <c r="AD23" i="6"/>
  <c r="AI23" i="6"/>
  <c r="AJ23" i="6" s="1"/>
  <c r="AI24" i="6"/>
  <c r="AJ24" i="6" s="1"/>
  <c r="AH25" i="6"/>
  <c r="T28" i="6"/>
  <c r="U28" i="6"/>
  <c r="U34" i="6"/>
  <c r="X34" i="6"/>
  <c r="T37" i="6"/>
  <c r="U37" i="6"/>
  <c r="V37" i="6"/>
  <c r="W37" i="6"/>
  <c r="X37" i="6"/>
  <c r="Y37" i="6"/>
  <c r="Z37" i="6"/>
  <c r="AA37" i="6"/>
  <c r="AB37" i="6"/>
  <c r="AC37" i="6"/>
  <c r="AD37" i="6"/>
  <c r="AE37" i="6"/>
  <c r="T39" i="6"/>
  <c r="U39" i="6"/>
  <c r="V39" i="6"/>
  <c r="AD39" i="6"/>
  <c r="AE39" i="6"/>
  <c r="T42" i="6"/>
  <c r="U42" i="6"/>
  <c r="V42" i="6"/>
  <c r="W42" i="6"/>
  <c r="X42" i="6"/>
  <c r="Y42" i="6"/>
  <c r="Z42" i="6"/>
  <c r="AA42" i="6"/>
  <c r="AB42" i="6"/>
  <c r="AC42" i="6"/>
  <c r="AD42" i="6"/>
  <c r="AE42" i="6"/>
  <c r="T44" i="6"/>
  <c r="U44" i="6"/>
  <c r="AD44" i="6"/>
  <c r="AE44" i="6"/>
  <c r="T28" i="11"/>
  <c r="U28" i="11"/>
  <c r="AD28" i="11"/>
  <c r="AE28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T39" i="11"/>
  <c r="U39" i="11"/>
  <c r="AD39" i="11"/>
  <c r="AE39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T44" i="11"/>
  <c r="U44" i="11"/>
  <c r="AD44" i="11"/>
  <c r="AE44" i="11"/>
  <c r="T18" i="5"/>
  <c r="U23" i="5"/>
  <c r="AD23" i="5"/>
  <c r="T26" i="5"/>
  <c r="T28" i="5"/>
  <c r="U28" i="5"/>
  <c r="W34" i="5"/>
  <c r="V42" i="1"/>
  <c r="V37" i="1"/>
  <c r="U37" i="1"/>
  <c r="T37" i="1"/>
  <c r="V35" i="1"/>
  <c r="AE26" i="13"/>
  <c r="AA21" i="3"/>
  <c r="AE21" i="3"/>
  <c r="W42" i="1"/>
  <c r="T18" i="2"/>
  <c r="T21" i="9"/>
  <c r="Y23" i="7"/>
  <c r="AA21" i="7"/>
  <c r="T21" i="5"/>
  <c r="Z23" i="2"/>
  <c r="T21" i="2"/>
  <c r="Y26" i="10"/>
  <c r="Y18" i="10"/>
  <c r="AD23" i="11"/>
  <c r="W34" i="6"/>
  <c r="X23" i="11"/>
  <c r="Y34" i="6"/>
  <c r="Z23" i="8"/>
  <c r="AA34" i="5"/>
  <c r="AA26" i="2"/>
  <c r="AB26" i="12"/>
  <c r="AE23" i="7"/>
  <c r="AA21" i="8"/>
  <c r="T23" i="11"/>
  <c r="U23" i="13"/>
  <c r="Y23" i="12"/>
  <c r="Y26" i="8"/>
  <c r="Y23" i="8"/>
  <c r="Z16" i="4"/>
  <c r="Z21" i="13"/>
  <c r="AA23" i="8"/>
  <c r="AB34" i="11"/>
  <c r="AB23" i="7"/>
  <c r="AB16" i="7"/>
  <c r="AB23" i="5"/>
  <c r="AB23" i="12"/>
  <c r="AB23" i="10"/>
  <c r="AB23" i="3"/>
  <c r="AC26" i="13"/>
  <c r="AC23" i="8"/>
  <c r="AC23" i="11"/>
  <c r="AB21" i="5"/>
  <c r="AD26" i="3"/>
  <c r="AD23" i="9"/>
  <c r="AD23" i="2"/>
  <c r="AE21" i="13"/>
  <c r="AE26" i="11"/>
  <c r="AE16" i="2"/>
  <c r="Z23" i="11"/>
  <c r="R21" i="1"/>
  <c r="T21" i="6"/>
  <c r="X23" i="4"/>
  <c r="G21" i="1"/>
  <c r="AE26" i="2"/>
  <c r="AE23" i="2"/>
  <c r="X21" i="2"/>
  <c r="H21" i="1"/>
  <c r="U23" i="2"/>
  <c r="U16" i="2" l="1"/>
  <c r="H13" i="1"/>
  <c r="G28" i="1"/>
  <c r="P23" i="1"/>
  <c r="M15" i="1"/>
  <c r="T16" i="2"/>
  <c r="G13" i="1"/>
  <c r="M31" i="1"/>
  <c r="F31" i="1" s="1"/>
  <c r="R28" i="1"/>
  <c r="J28" i="1"/>
  <c r="J23" i="1"/>
  <c r="L15" i="1"/>
  <c r="J13" i="1"/>
  <c r="AI25" i="6"/>
  <c r="AG25" i="6" s="1"/>
  <c r="E12" i="10"/>
  <c r="AE26" i="1"/>
  <c r="F23" i="11"/>
  <c r="U21" i="3"/>
  <c r="H19" i="1"/>
  <c r="V19" i="1" s="1"/>
  <c r="I26" i="1"/>
  <c r="W26" i="1" s="1"/>
  <c r="U21" i="1"/>
  <c r="G14" i="1"/>
  <c r="AJ25" i="6"/>
  <c r="G24" i="1"/>
  <c r="U24" i="1" s="1"/>
  <c r="AE28" i="13"/>
  <c r="J14" i="1"/>
  <c r="R16" i="1"/>
  <c r="AF16" i="1" s="1"/>
  <c r="AF15" i="1" s="1"/>
  <c r="E12" i="13"/>
  <c r="G16" i="1"/>
  <c r="U16" i="1" s="1"/>
  <c r="U15" i="1" s="1"/>
  <c r="E12" i="11"/>
  <c r="E12" i="12"/>
  <c r="E12" i="8"/>
  <c r="E12" i="6"/>
  <c r="F21" i="9"/>
  <c r="G29" i="1"/>
  <c r="R32" i="1"/>
  <c r="AF32" i="1" s="1"/>
  <c r="E12" i="9"/>
  <c r="E12" i="5"/>
  <c r="V26" i="1"/>
  <c r="U28" i="13"/>
  <c r="F28" i="13"/>
  <c r="H14" i="1"/>
  <c r="H16" i="1"/>
  <c r="V16" i="1" s="1"/>
  <c r="V15" i="1" s="1"/>
  <c r="F25" i="1"/>
  <c r="P32" i="1"/>
  <c r="AD32" i="1" s="1"/>
  <c r="AC34" i="9"/>
  <c r="J29" i="1"/>
  <c r="F13" i="7"/>
  <c r="F13" i="12"/>
  <c r="F13" i="6"/>
  <c r="F13" i="11"/>
  <c r="F13" i="5"/>
  <c r="G32" i="1"/>
  <c r="U32" i="1" s="1"/>
  <c r="F13" i="8"/>
  <c r="F34" i="13"/>
  <c r="V16" i="3"/>
  <c r="I14" i="1"/>
  <c r="F23" i="8"/>
  <c r="AD16" i="8"/>
  <c r="AE21" i="7"/>
  <c r="R19" i="1"/>
  <c r="AF19" i="1" s="1"/>
  <c r="F18" i="13"/>
  <c r="F26" i="8"/>
  <c r="U26" i="8"/>
  <c r="V21" i="2"/>
  <c r="I19" i="1"/>
  <c r="W19" i="1" s="1"/>
  <c r="F23" i="5"/>
  <c r="V23" i="5"/>
  <c r="F23" i="9"/>
  <c r="V23" i="9"/>
  <c r="F21" i="11"/>
  <c r="V21" i="11"/>
  <c r="W23" i="2"/>
  <c r="J21" i="1"/>
  <c r="X21" i="1" s="1"/>
  <c r="F23" i="3"/>
  <c r="W23" i="3"/>
  <c r="W26" i="4"/>
  <c r="J24" i="1"/>
  <c r="H24" i="1"/>
  <c r="V24" i="1" s="1"/>
  <c r="U16" i="9"/>
  <c r="U31" i="3"/>
  <c r="H29" i="1"/>
  <c r="V29" i="1" s="1"/>
  <c r="I24" i="1"/>
  <c r="W24" i="1" s="1"/>
  <c r="G19" i="1"/>
  <c r="U19" i="1" s="1"/>
  <c r="U18" i="2"/>
  <c r="H32" i="1"/>
  <c r="V32" i="1" s="1"/>
  <c r="V21" i="1"/>
  <c r="R24" i="1"/>
  <c r="AF24" i="1" s="1"/>
  <c r="K7" i="8"/>
  <c r="K7" i="3"/>
  <c r="K7" i="6"/>
  <c r="K7" i="4"/>
  <c r="I21" i="1"/>
  <c r="W21" i="1" s="1"/>
  <c r="V26" i="2"/>
  <c r="K7" i="10"/>
  <c r="F13" i="10"/>
  <c r="F13" i="13"/>
  <c r="I32" i="1"/>
  <c r="W32" i="1" s="1"/>
  <c r="V34" i="3"/>
  <c r="W34" i="7"/>
  <c r="J32" i="1"/>
  <c r="X32" i="1" s="1"/>
  <c r="R29" i="1"/>
  <c r="I29" i="1"/>
  <c r="W29" i="1" s="1"/>
  <c r="V18" i="4"/>
  <c r="I16" i="1"/>
  <c r="W16" i="1" s="1"/>
  <c r="W15" i="1" s="1"/>
  <c r="J16" i="1"/>
  <c r="X16" i="1" s="1"/>
  <c r="X15" i="1" s="1"/>
  <c r="W21" i="9"/>
  <c r="AF21" i="1"/>
  <c r="T28" i="13"/>
  <c r="V18" i="13"/>
  <c r="G26" i="1"/>
  <c r="U21" i="2"/>
  <c r="F16" i="4"/>
  <c r="W18" i="4"/>
  <c r="F23" i="10"/>
  <c r="R14" i="1"/>
  <c r="AF14" i="1" s="1"/>
  <c r="X26" i="1"/>
  <c r="F26" i="13"/>
  <c r="AF26" i="1"/>
  <c r="F21" i="13"/>
  <c r="F18" i="11"/>
  <c r="F26" i="7"/>
  <c r="J19" i="1"/>
  <c r="X19" i="1" s="1"/>
  <c r="F16" i="6"/>
  <c r="F21" i="5"/>
  <c r="F26" i="4"/>
  <c r="F21" i="2"/>
  <c r="AD21" i="2"/>
  <c r="K7" i="11"/>
  <c r="K7" i="13"/>
  <c r="K7" i="5"/>
  <c r="K7" i="7"/>
  <c r="K7" i="9"/>
  <c r="AE34" i="13"/>
  <c r="F34" i="11"/>
  <c r="Q21" i="1"/>
  <c r="AE21" i="1" s="1"/>
  <c r="F23" i="13"/>
  <c r="F16" i="13"/>
  <c r="AD23" i="12"/>
  <c r="F16" i="11"/>
  <c r="Q16" i="1"/>
  <c r="AE16" i="1" s="1"/>
  <c r="AE15" i="1" s="1"/>
  <c r="Q24" i="1"/>
  <c r="AE24" i="1" s="1"/>
  <c r="AD23" i="4"/>
  <c r="Q19" i="1"/>
  <c r="AE19" i="1" s="1"/>
  <c r="Q32" i="1"/>
  <c r="AE32" i="1" s="1"/>
  <c r="AD34" i="2"/>
  <c r="Q29" i="1"/>
  <c r="AE29" i="1" s="1"/>
  <c r="Q14" i="1"/>
  <c r="AE14" i="1" s="1"/>
  <c r="AC23" i="13"/>
  <c r="P19" i="1"/>
  <c r="AD19" i="1" s="1"/>
  <c r="F23" i="12"/>
  <c r="AC21" i="12"/>
  <c r="F31" i="11"/>
  <c r="F26" i="11"/>
  <c r="F31" i="10"/>
  <c r="P24" i="1"/>
  <c r="F16" i="10"/>
  <c r="P16" i="1"/>
  <c r="AD16" i="1" s="1"/>
  <c r="AD15" i="1" s="1"/>
  <c r="AC18" i="6"/>
  <c r="AC23" i="5"/>
  <c r="AC23" i="3"/>
  <c r="AC21" i="3"/>
  <c r="P14" i="1"/>
  <c r="AD14" i="1" s="1"/>
  <c r="P29" i="1"/>
  <c r="AD29" i="1" s="1"/>
  <c r="P21" i="1"/>
  <c r="AD21" i="1" s="1"/>
  <c r="AB34" i="13"/>
  <c r="F18" i="12"/>
  <c r="F26" i="10"/>
  <c r="F21" i="10"/>
  <c r="F18" i="10"/>
  <c r="F34" i="9"/>
  <c r="F18" i="8"/>
  <c r="F26" i="6"/>
  <c r="O24" i="1"/>
  <c r="AC24" i="1" s="1"/>
  <c r="F23" i="6"/>
  <c r="AC21" i="1"/>
  <c r="O14" i="1"/>
  <c r="AC14" i="1" s="1"/>
  <c r="F31" i="4"/>
  <c r="F34" i="3"/>
  <c r="O32" i="1"/>
  <c r="AC32" i="1" s="1"/>
  <c r="O29" i="1"/>
  <c r="AC29" i="1" s="1"/>
  <c r="F21" i="3"/>
  <c r="O19" i="1"/>
  <c r="AC19" i="1" s="1"/>
  <c r="O16" i="1"/>
  <c r="AC16" i="1" s="1"/>
  <c r="AC15" i="1" s="1"/>
  <c r="AB21" i="2"/>
  <c r="AB16" i="2"/>
  <c r="AA26" i="13"/>
  <c r="F16" i="12"/>
  <c r="AA21" i="11"/>
  <c r="F31" i="9"/>
  <c r="AA21" i="9"/>
  <c r="F16" i="9"/>
  <c r="N32" i="1"/>
  <c r="AB32" i="1" s="1"/>
  <c r="N21" i="1"/>
  <c r="AB21" i="1" s="1"/>
  <c r="AA18" i="8"/>
  <c r="N19" i="1"/>
  <c r="AB19" i="1" s="1"/>
  <c r="N24" i="1"/>
  <c r="AB24" i="1" s="1"/>
  <c r="F21" i="6"/>
  <c r="AA21" i="5"/>
  <c r="AA26" i="4"/>
  <c r="F18" i="4"/>
  <c r="F31" i="3"/>
  <c r="N29" i="1"/>
  <c r="AB29" i="1" s="1"/>
  <c r="N16" i="1"/>
  <c r="AB16" i="1" s="1"/>
  <c r="AB15" i="1" s="1"/>
  <c r="F18" i="3"/>
  <c r="F16" i="3"/>
  <c r="N14" i="1"/>
  <c r="AB14" i="1" s="1"/>
  <c r="F31" i="2"/>
  <c r="Z34" i="13"/>
  <c r="F31" i="13"/>
  <c r="F26" i="12"/>
  <c r="F21" i="12"/>
  <c r="Z26" i="11"/>
  <c r="M32" i="1"/>
  <c r="F26" i="9"/>
  <c r="F31" i="6"/>
  <c r="M29" i="1"/>
  <c r="AA29" i="1" s="1"/>
  <c r="F18" i="6"/>
  <c r="Z23" i="5"/>
  <c r="F18" i="5"/>
  <c r="M16" i="1"/>
  <c r="F23" i="4"/>
  <c r="M14" i="1"/>
  <c r="AA14" i="1" s="1"/>
  <c r="Z34" i="3"/>
  <c r="M24" i="1"/>
  <c r="AA24" i="1" s="1"/>
  <c r="F26" i="3"/>
  <c r="M21" i="1"/>
  <c r="AA21" i="1" s="1"/>
  <c r="Z21" i="2"/>
  <c r="M19" i="1"/>
  <c r="AA19" i="1" s="1"/>
  <c r="F16" i="2"/>
  <c r="F26" i="2"/>
  <c r="Y34" i="13"/>
  <c r="L21" i="1"/>
  <c r="Z21" i="1" s="1"/>
  <c r="F31" i="12"/>
  <c r="L16" i="1"/>
  <c r="Z16" i="1" s="1"/>
  <c r="Z15" i="1" s="1"/>
  <c r="F34" i="10"/>
  <c r="F34" i="8"/>
  <c r="F21" i="8"/>
  <c r="F18" i="7"/>
  <c r="Y18" i="6"/>
  <c r="Y16" i="5"/>
  <c r="L29" i="1"/>
  <c r="Z29" i="1" s="1"/>
  <c r="L24" i="1"/>
  <c r="Z24" i="1" s="1"/>
  <c r="F21" i="4"/>
  <c r="L32" i="1"/>
  <c r="Z32" i="1" s="1"/>
  <c r="L19" i="1"/>
  <c r="Z19" i="1" s="1"/>
  <c r="F18" i="1"/>
  <c r="F34" i="7"/>
  <c r="X34" i="13"/>
  <c r="F34" i="12"/>
  <c r="X31" i="10"/>
  <c r="X26" i="9"/>
  <c r="X23" i="9"/>
  <c r="F18" i="9"/>
  <c r="F31" i="8"/>
  <c r="K24" i="1"/>
  <c r="F31" i="7"/>
  <c r="F23" i="7"/>
  <c r="F21" i="7"/>
  <c r="F16" i="7"/>
  <c r="K19" i="1"/>
  <c r="F31" i="5"/>
  <c r="K29" i="1"/>
  <c r="F26" i="5"/>
  <c r="F16" i="5"/>
  <c r="K14" i="1"/>
  <c r="Y14" i="1" s="1"/>
  <c r="X26" i="4"/>
  <c r="F34" i="2"/>
  <c r="K32" i="1"/>
  <c r="X31" i="2"/>
  <c r="K21" i="1"/>
  <c r="F23" i="2"/>
  <c r="F18" i="2"/>
  <c r="K16" i="1"/>
  <c r="V14" i="1" l="1"/>
  <c r="X29" i="1"/>
  <c r="AD24" i="1"/>
  <c r="AA32" i="1"/>
  <c r="F23" i="1"/>
  <c r="F28" i="1"/>
  <c r="U29" i="1"/>
  <c r="AA16" i="1"/>
  <c r="AA15" i="1" s="1"/>
  <c r="AF29" i="1"/>
  <c r="X24" i="1"/>
  <c r="X14" i="1"/>
  <c r="U14" i="1"/>
  <c r="W14" i="1"/>
  <c r="F26" i="1"/>
  <c r="T26" i="1" s="1"/>
  <c r="U26" i="1"/>
  <c r="F29" i="1"/>
  <c r="F24" i="1"/>
  <c r="F19" i="1"/>
  <c r="Y24" i="1"/>
  <c r="Y19" i="1"/>
  <c r="T19" i="1" s="1"/>
  <c r="Y29" i="1"/>
  <c r="F32" i="1"/>
  <c r="Y32" i="1"/>
  <c r="Y21" i="1"/>
  <c r="F21" i="1"/>
  <c r="F16" i="1"/>
  <c r="Y16" i="1"/>
  <c r="T32" i="1" l="1"/>
  <c r="T29" i="1"/>
  <c r="T24" i="1"/>
  <c r="T21" i="1"/>
  <c r="T22" i="1"/>
  <c r="Y15" i="1"/>
  <c r="T15" i="1" s="1"/>
  <c r="T16" i="1"/>
  <c r="F15" i="8"/>
  <c r="L13" i="1"/>
  <c r="F13" i="1" s="1"/>
  <c r="L16" i="8"/>
  <c r="Y16" i="8" s="1"/>
  <c r="L14" i="1" l="1"/>
  <c r="F14" i="1" s="1"/>
  <c r="F16" i="8"/>
  <c r="Z14" i="1" l="1"/>
  <c r="T14" i="1" s="1"/>
</calcChain>
</file>

<file path=xl/sharedStrings.xml><?xml version="1.0" encoding="utf-8"?>
<sst xmlns="http://schemas.openxmlformats.org/spreadsheetml/2006/main" count="1618" uniqueCount="95">
  <si>
    <t>GOBIERNO REGIONAL DE AREQUIPA</t>
  </si>
  <si>
    <t>GERENCIA REGIONAL DE AGRICULTURA</t>
  </si>
  <si>
    <t>INFORMACION AGRARIA</t>
  </si>
  <si>
    <t>SEGUN PRINCIPALES ESPECIES</t>
  </si>
  <si>
    <t xml:space="preserve">PROVINCIA   </t>
  </si>
  <si>
    <t xml:space="preserve">     :  CARAVELI</t>
  </si>
  <si>
    <t xml:space="preserve">META </t>
  </si>
  <si>
    <t>EJECUTADO</t>
  </si>
  <si>
    <t>ESPECIE</t>
  </si>
  <si>
    <t>VARIABLE</t>
  </si>
  <si>
    <t>UNID.DE MEDIDA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</si>
  <si>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</si>
  <si>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</si>
  <si>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</si>
  <si>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</si>
  <si>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</si>
  <si>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</si>
  <si>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</si>
  <si>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</si>
  <si>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</si>
  <si>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</si>
  <si>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</si>
  <si>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</si>
  <si>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</si>
  <si>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E</t>
  </si>
  <si>
    <t>F</t>
  </si>
  <si>
    <t>M</t>
  </si>
  <si>
    <t>A</t>
  </si>
  <si>
    <t>J</t>
  </si>
  <si>
    <t>S</t>
  </si>
  <si>
    <t>O</t>
  </si>
  <si>
    <t>N</t>
  </si>
  <si>
    <t>D</t>
  </si>
  <si>
    <t>PROGRAM.</t>
  </si>
  <si>
    <t xml:space="preserve">   AVES</t>
  </si>
  <si>
    <t>POBLAC.1/</t>
  </si>
  <si>
    <t>Unidades</t>
  </si>
  <si>
    <t xml:space="preserve">  CARNE</t>
  </si>
  <si>
    <t>PRODUC.</t>
  </si>
  <si>
    <t>Unidades (Saca)</t>
  </si>
  <si>
    <t>CARNE</t>
  </si>
  <si>
    <t xml:space="preserve"> ( t )</t>
  </si>
  <si>
    <t>peso carcasa</t>
  </si>
  <si>
    <t>HUEVOS</t>
  </si>
  <si>
    <t>Gallinas Post.</t>
  </si>
  <si>
    <t>huevos/gallina</t>
  </si>
  <si>
    <t>POSTURA</t>
  </si>
  <si>
    <t>dias postura</t>
  </si>
  <si>
    <t>Unidades(Saca)</t>
  </si>
  <si>
    <t>VACUNO</t>
  </si>
  <si>
    <t>LECHE</t>
  </si>
  <si>
    <t>Vacas Ordeño</t>
  </si>
  <si>
    <t>litros/vaca/dia</t>
  </si>
  <si>
    <t>OVINO</t>
  </si>
  <si>
    <t>LANA</t>
  </si>
  <si>
    <t>Anim.Esquil.</t>
  </si>
  <si>
    <t>kilos/cabeza</t>
  </si>
  <si>
    <t>PORCINO</t>
  </si>
  <si>
    <t>CAPRINO</t>
  </si>
  <si>
    <t>ALPACA</t>
  </si>
  <si>
    <t>FIBRA</t>
  </si>
  <si>
    <t>LLAMA</t>
  </si>
  <si>
    <t>VICUÑA</t>
  </si>
  <si>
    <t xml:space="preserve"> 1/  Población Anual</t>
  </si>
  <si>
    <t>Fuente: MINAG - DIA - Agencia Agraria Caravelí - CONACS</t>
  </si>
  <si>
    <t xml:space="preserve">REGION/SUB-REGION   </t>
  </si>
  <si>
    <t xml:space="preserve">     :  AREQUIPA</t>
  </si>
  <si>
    <t>PROVINCIA</t>
  </si>
  <si>
    <t>DISTRITO</t>
  </si>
  <si>
    <t>Responsable              :</t>
  </si>
  <si>
    <t>UNIDAD</t>
  </si>
  <si>
    <t>EJECUCION</t>
  </si>
  <si>
    <t>DE</t>
  </si>
  <si>
    <t>MEDIDA</t>
  </si>
  <si>
    <t xml:space="preserve"> </t>
  </si>
  <si>
    <t xml:space="preserve">     :  ACARI</t>
  </si>
  <si>
    <t xml:space="preserve">      </t>
  </si>
  <si>
    <t xml:space="preserve">     :  ATICO</t>
  </si>
  <si>
    <t xml:space="preserve">     :  YAUCA</t>
  </si>
  <si>
    <t>:  JAQUI</t>
  </si>
  <si>
    <t>LT/30 DIAS</t>
  </si>
  <si>
    <t xml:space="preserve">     :  ATIQUIPA</t>
  </si>
  <si>
    <t xml:space="preserve">     :  CHALA</t>
  </si>
  <si>
    <t xml:space="preserve">     :  CHAPARRA</t>
  </si>
  <si>
    <t>.</t>
  </si>
  <si>
    <t xml:space="preserve">     :  HUANUHUANU</t>
  </si>
  <si>
    <t xml:space="preserve">     :  QUICACHA</t>
  </si>
  <si>
    <t xml:space="preserve">     :  BELLA UNION</t>
  </si>
  <si>
    <t xml:space="preserve">     :  CAHUACHO</t>
  </si>
  <si>
    <t>|+Área_de_impresión</t>
  </si>
  <si>
    <t>Elaboración : MINAG - DIA / RGH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</si>
  <si>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</si>
  <si>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</t>
  </si>
  <si>
    <t>||||||||||||||||||||||||||||||||||||||||||||||||||||||||||||||||||||||||||||||</t>
  </si>
  <si>
    <t>EJECUCION DE LA PRODUCCION PECUARIA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</si>
</sst>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#,##0.0;\-#,##0.0"/>
    <numFmt numFmtId="166" formatCode="#,##0.0_);\(#,##0.0\)"/>
    <numFmt numFmtId="167" formatCode="#,##0.000"/>
    <numFmt numFmtId="168" formatCode="0.0"/>
    <numFmt numFmtId="169" formatCode="0.000"/>
    <numFmt numFmtId="170" formatCode="0.0_)"/>
    <numFmt numFmtId="171" formatCode="#,##0.000_);\(#,##0.000\)"/>
    <numFmt numFmtId="172" formatCode="#,##0.00_);\(#,##0.00\)"/>
  </numFmts>
  <fonts count="20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sz val="11"/>
      <color indexed="10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48"/>
      <name val="Arial Narrow"/>
      <family val="2"/>
    </font>
    <font>
      <b/>
      <sz val="10"/>
      <color rgb="FFFF0000"/>
      <name val="Arial Narrow"/>
      <family val="2"/>
    </font>
    <font>
      <sz val="10"/>
      <color theme="0"/>
      <name val="Arial"/>
      <family val="2"/>
    </font>
    <font>
      <b/>
      <sz val="11"/>
      <color rgb="FF3399FF"/>
      <name val="Arial Narrow"/>
      <family val="2"/>
    </font>
    <font>
      <b/>
      <sz val="11"/>
      <color rgb="FF0099CC"/>
      <name val="Arial"/>
      <family val="2"/>
    </font>
    <font>
      <b/>
      <sz val="11"/>
      <color rgb="FFC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 applyAlignment="1" applyProtection="1">
      <alignment horizontal="left"/>
    </xf>
    <xf numFmtId="0" fontId="5" fillId="0" borderId="0" xfId="0" applyFont="1" applyFill="1"/>
    <xf numFmtId="0" fontId="6" fillId="0" borderId="1" xfId="0" applyFont="1" applyFill="1" applyBorder="1"/>
    <xf numFmtId="0" fontId="6" fillId="0" borderId="2" xfId="0" applyFont="1" applyFill="1" applyBorder="1"/>
    <xf numFmtId="0" fontId="6" fillId="0" borderId="0" xfId="0" applyFont="1" applyFill="1" applyBorder="1"/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3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</xf>
    <xf numFmtId="37" fontId="8" fillId="0" borderId="6" xfId="0" applyNumberFormat="1" applyFont="1" applyFill="1" applyBorder="1" applyProtection="1"/>
    <xf numFmtId="0" fontId="9" fillId="2" borderId="6" xfId="0" applyFont="1" applyFill="1" applyBorder="1"/>
    <xf numFmtId="0" fontId="8" fillId="0" borderId="0" xfId="0" applyFont="1" applyFill="1" applyBorder="1"/>
    <xf numFmtId="0" fontId="6" fillId="0" borderId="4" xfId="0" applyFont="1" applyFill="1" applyBorder="1" applyAlignment="1" applyProtection="1">
      <alignment horizontal="left"/>
    </xf>
    <xf numFmtId="37" fontId="8" fillId="0" borderId="0" xfId="0" applyNumberFormat="1" applyFont="1" applyFill="1" applyBorder="1" applyProtection="1"/>
    <xf numFmtId="37" fontId="1" fillId="0" borderId="0" xfId="0" applyNumberFormat="1" applyFont="1" applyFill="1" applyProtection="1"/>
    <xf numFmtId="164" fontId="8" fillId="0" borderId="6" xfId="0" applyNumberFormat="1" applyFont="1" applyFill="1" applyBorder="1" applyProtection="1"/>
    <xf numFmtId="165" fontId="8" fillId="0" borderId="6" xfId="0" applyNumberFormat="1" applyFont="1" applyFill="1" applyBorder="1" applyProtection="1"/>
    <xf numFmtId="166" fontId="10" fillId="0" borderId="0" xfId="0" applyNumberFormat="1" applyFont="1" applyFill="1" applyBorder="1" applyProtection="1"/>
    <xf numFmtId="39" fontId="2" fillId="0" borderId="0" xfId="0" applyNumberFormat="1" applyFont="1" applyFill="1" applyProtection="1"/>
    <xf numFmtId="4" fontId="1" fillId="0" borderId="0" xfId="0" applyNumberFormat="1" applyFont="1" applyFill="1"/>
    <xf numFmtId="37" fontId="10" fillId="0" borderId="0" xfId="0" applyNumberFormat="1" applyFont="1" applyFill="1" applyBorder="1" applyProtection="1"/>
    <xf numFmtId="0" fontId="6" fillId="0" borderId="5" xfId="0" applyFont="1" applyFill="1" applyBorder="1" applyAlignment="1" applyProtection="1">
      <alignment horizontal="left"/>
    </xf>
    <xf numFmtId="0" fontId="6" fillId="0" borderId="3" xfId="0" applyFont="1" applyFill="1" applyBorder="1"/>
    <xf numFmtId="0" fontId="11" fillId="0" borderId="0" xfId="0" applyFont="1" applyFill="1" applyBorder="1"/>
    <xf numFmtId="37" fontId="11" fillId="0" borderId="0" xfId="0" applyNumberFormat="1" applyFont="1" applyFill="1" applyBorder="1" applyProtection="1"/>
    <xf numFmtId="37" fontId="2" fillId="0" borderId="0" xfId="0" applyNumberFormat="1" applyFont="1" applyFill="1" applyProtection="1"/>
    <xf numFmtId="4" fontId="2" fillId="0" borderId="0" xfId="0" applyNumberFormat="1" applyFont="1" applyFill="1"/>
    <xf numFmtId="0" fontId="8" fillId="0" borderId="3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166" fontId="8" fillId="0" borderId="6" xfId="0" applyNumberFormat="1" applyFont="1" applyFill="1" applyBorder="1" applyProtection="1"/>
    <xf numFmtId="166" fontId="1" fillId="0" borderId="0" xfId="0" applyNumberFormat="1" applyFont="1" applyFill="1" applyProtection="1"/>
    <xf numFmtId="1" fontId="8" fillId="0" borderId="6" xfId="0" applyNumberFormat="1" applyFont="1" applyFill="1" applyBorder="1" applyProtection="1"/>
    <xf numFmtId="167" fontId="2" fillId="0" borderId="0" xfId="0" applyNumberFormat="1" applyFont="1" applyFill="1"/>
    <xf numFmtId="0" fontId="2" fillId="0" borderId="0" xfId="0" applyFont="1" applyFill="1" applyAlignment="1" applyProtection="1">
      <alignment horizontal="left"/>
    </xf>
    <xf numFmtId="37" fontId="1" fillId="0" borderId="0" xfId="0" applyNumberFormat="1" applyFont="1" applyFill="1" applyBorder="1" applyProtection="1"/>
    <xf numFmtId="0" fontId="1" fillId="0" borderId="0" xfId="0" applyFont="1" applyFill="1" applyBorder="1"/>
    <xf numFmtId="37" fontId="1" fillId="0" borderId="0" xfId="0" applyNumberFormat="1" applyFont="1" applyFill="1" applyAlignment="1" applyProtection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14" fillId="0" borderId="0" xfId="0" applyFont="1"/>
    <xf numFmtId="0" fontId="14" fillId="0" borderId="0" xfId="0" applyFont="1" applyAlignment="1" applyProtection="1">
      <alignment horizontal="left"/>
    </xf>
    <xf numFmtId="0" fontId="13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0" borderId="4" xfId="0" applyNumberFormat="1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6" xfId="0" applyNumberFormat="1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left"/>
    </xf>
    <xf numFmtId="37" fontId="9" fillId="0" borderId="6" xfId="0" applyNumberFormat="1" applyFont="1" applyBorder="1" applyProtection="1"/>
    <xf numFmtId="0" fontId="9" fillId="0" borderId="0" xfId="0" applyFont="1"/>
    <xf numFmtId="0" fontId="13" fillId="0" borderId="4" xfId="0" applyFont="1" applyBorder="1" applyAlignment="1" applyProtection="1">
      <alignment horizontal="left"/>
    </xf>
    <xf numFmtId="37" fontId="9" fillId="0" borderId="0" xfId="0" applyNumberFormat="1" applyFont="1" applyProtection="1"/>
    <xf numFmtId="165" fontId="9" fillId="0" borderId="6" xfId="0" applyNumberFormat="1" applyFont="1" applyBorder="1" applyProtection="1"/>
    <xf numFmtId="166" fontId="9" fillId="0" borderId="6" xfId="0" applyNumberFormat="1" applyFont="1" applyBorder="1" applyProtection="1"/>
    <xf numFmtId="166" fontId="9" fillId="0" borderId="0" xfId="0" applyNumberFormat="1" applyFont="1" applyProtection="1"/>
    <xf numFmtId="0" fontId="0" fillId="0" borderId="0" xfId="0" applyNumberFormat="1"/>
    <xf numFmtId="0" fontId="13" fillId="0" borderId="5" xfId="0" applyFont="1" applyBorder="1" applyAlignment="1" applyProtection="1">
      <alignment horizontal="left"/>
    </xf>
    <xf numFmtId="3" fontId="9" fillId="0" borderId="6" xfId="0" applyNumberFormat="1" applyFont="1" applyBorder="1" applyProtection="1"/>
    <xf numFmtId="0" fontId="13" fillId="0" borderId="3" xfId="0" applyFont="1" applyBorder="1"/>
    <xf numFmtId="37" fontId="0" fillId="0" borderId="0" xfId="0" applyNumberFormat="1"/>
    <xf numFmtId="164" fontId="9" fillId="0" borderId="6" xfId="0" applyNumberFormat="1" applyFont="1" applyBorder="1" applyProtection="1"/>
    <xf numFmtId="37" fontId="9" fillId="0" borderId="6" xfId="0" applyNumberFormat="1" applyFont="1" applyFill="1" applyBorder="1" applyProtection="1"/>
    <xf numFmtId="168" fontId="9" fillId="0" borderId="6" xfId="0" applyNumberFormat="1" applyFont="1" applyBorder="1" applyProtection="1"/>
    <xf numFmtId="4" fontId="0" fillId="0" borderId="0" xfId="0" applyNumberFormat="1"/>
    <xf numFmtId="0" fontId="12" fillId="0" borderId="3" xfId="0" applyFont="1" applyBorder="1"/>
    <xf numFmtId="0" fontId="9" fillId="0" borderId="6" xfId="0" applyFont="1" applyBorder="1"/>
    <xf numFmtId="0" fontId="12" fillId="0" borderId="5" xfId="0" applyFont="1" applyBorder="1"/>
    <xf numFmtId="0" fontId="12" fillId="0" borderId="6" xfId="0" applyFont="1" applyBorder="1"/>
    <xf numFmtId="0" fontId="9" fillId="0" borderId="6" xfId="0" applyFont="1" applyBorder="1" applyProtection="1"/>
    <xf numFmtId="39" fontId="9" fillId="0" borderId="6" xfId="0" applyNumberFormat="1" applyFont="1" applyBorder="1" applyProtection="1"/>
    <xf numFmtId="169" fontId="9" fillId="0" borderId="6" xfId="0" applyNumberFormat="1" applyFont="1" applyBorder="1" applyProtection="1"/>
    <xf numFmtId="169" fontId="9" fillId="0" borderId="6" xfId="0" applyNumberFormat="1" applyFont="1" applyBorder="1"/>
    <xf numFmtId="37" fontId="12" fillId="0" borderId="0" xfId="0" applyNumberFormat="1" applyFont="1" applyProtection="1"/>
    <xf numFmtId="37" fontId="12" fillId="0" borderId="0" xfId="0" applyNumberFormat="1" applyFont="1" applyAlignment="1" applyProtection="1">
      <alignment horizontal="left"/>
    </xf>
    <xf numFmtId="4" fontId="0" fillId="0" borderId="0" xfId="0" applyNumberFormat="1" applyFill="1"/>
    <xf numFmtId="170" fontId="9" fillId="0" borderId="6" xfId="0" applyNumberFormat="1" applyFont="1" applyBorder="1" applyProtection="1"/>
    <xf numFmtId="37" fontId="0" fillId="0" borderId="0" xfId="0" applyNumberFormat="1" applyProtection="1"/>
    <xf numFmtId="0" fontId="0" fillId="0" borderId="0" xfId="0" applyFont="1" applyAlignment="1" applyProtection="1">
      <alignment horizontal="left"/>
    </xf>
    <xf numFmtId="0" fontId="13" fillId="0" borderId="6" xfId="0" applyFont="1" applyBorder="1" applyAlignment="1" applyProtection="1">
      <alignment horizontal="center"/>
    </xf>
    <xf numFmtId="0" fontId="13" fillId="0" borderId="2" xfId="0" applyFont="1" applyFill="1" applyBorder="1"/>
    <xf numFmtId="0" fontId="13" fillId="0" borderId="4" xfId="0" applyFont="1" applyFill="1" applyBorder="1" applyAlignment="1" applyProtection="1">
      <alignment horizontal="center"/>
    </xf>
    <xf numFmtId="0" fontId="13" fillId="0" borderId="6" xfId="0" applyFont="1" applyFill="1" applyBorder="1"/>
    <xf numFmtId="0" fontId="0" fillId="3" borderId="0" xfId="0" applyFill="1"/>
    <xf numFmtId="3" fontId="0" fillId="3" borderId="0" xfId="0" applyNumberFormat="1" applyFill="1"/>
    <xf numFmtId="168" fontId="9" fillId="0" borderId="6" xfId="0" applyNumberFormat="1" applyFont="1" applyBorder="1"/>
    <xf numFmtId="171" fontId="9" fillId="0" borderId="6" xfId="0" applyNumberFormat="1" applyFont="1" applyBorder="1" applyProtection="1"/>
    <xf numFmtId="168" fontId="0" fillId="0" borderId="0" xfId="0" applyNumberFormat="1"/>
    <xf numFmtId="2" fontId="9" fillId="0" borderId="6" xfId="0" applyNumberFormat="1" applyFont="1" applyBorder="1"/>
    <xf numFmtId="0" fontId="12" fillId="0" borderId="0" xfId="0" applyFont="1" applyAlignment="1">
      <alignment horizontal="center"/>
    </xf>
    <xf numFmtId="39" fontId="9" fillId="0" borderId="6" xfId="0" applyNumberFormat="1" applyFont="1" applyBorder="1" applyAlignment="1" applyProtection="1">
      <alignment horizontal="right"/>
    </xf>
    <xf numFmtId="0" fontId="13" fillId="0" borderId="4" xfId="0" applyFont="1" applyBorder="1" applyAlignment="1" applyProtection="1">
      <alignment horizontal="center"/>
      <protection locked="0"/>
    </xf>
    <xf numFmtId="172" fontId="9" fillId="0" borderId="6" xfId="0" applyNumberFormat="1" applyFont="1" applyBorder="1" applyProtection="1"/>
    <xf numFmtId="0" fontId="15" fillId="0" borderId="4" xfId="0" applyNumberFormat="1" applyFont="1" applyBorder="1" applyAlignment="1" applyProtection="1">
      <alignment horizontal="center"/>
    </xf>
    <xf numFmtId="0" fontId="15" fillId="0" borderId="5" xfId="0" applyNumberFormat="1" applyFont="1" applyBorder="1" applyAlignment="1" applyProtection="1">
      <alignment horizontal="center"/>
    </xf>
    <xf numFmtId="1" fontId="12" fillId="0" borderId="0" xfId="0" applyNumberFormat="1" applyFont="1"/>
    <xf numFmtId="0" fontId="15" fillId="0" borderId="4" xfId="0" applyFont="1" applyBorder="1" applyAlignment="1" applyProtection="1">
      <alignment horizontal="center"/>
    </xf>
    <xf numFmtId="4" fontId="8" fillId="0" borderId="6" xfId="0" applyNumberFormat="1" applyFont="1" applyFill="1" applyBorder="1" applyProtection="1"/>
    <xf numFmtId="39" fontId="8" fillId="0" borderId="6" xfId="0" applyNumberFormat="1" applyFont="1" applyFill="1" applyBorder="1" applyProtection="1"/>
    <xf numFmtId="4" fontId="9" fillId="0" borderId="6" xfId="0" applyNumberFormat="1" applyFont="1" applyBorder="1" applyProtection="1"/>
    <xf numFmtId="2" fontId="9" fillId="0" borderId="6" xfId="0" applyNumberFormat="1" applyFont="1" applyBorder="1" applyProtection="1"/>
    <xf numFmtId="37" fontId="9" fillId="0" borderId="7" xfId="0" applyNumberFormat="1" applyFont="1" applyBorder="1" applyProtection="1"/>
    <xf numFmtId="0" fontId="9" fillId="2" borderId="4" xfId="0" applyFont="1" applyFill="1" applyBorder="1"/>
    <xf numFmtId="37" fontId="9" fillId="0" borderId="8" xfId="0" applyNumberFormat="1" applyFont="1" applyBorder="1" applyProtection="1"/>
    <xf numFmtId="0" fontId="0" fillId="4" borderId="0" xfId="0" applyFill="1"/>
    <xf numFmtId="0" fontId="16" fillId="0" borderId="0" xfId="0" applyFont="1"/>
    <xf numFmtId="0" fontId="0" fillId="0" borderId="0" xfId="0" quotePrefix="1"/>
    <xf numFmtId="37" fontId="8" fillId="4" borderId="6" xfId="0" applyNumberFormat="1" applyFont="1" applyFill="1" applyBorder="1" applyProtection="1"/>
    <xf numFmtId="4" fontId="8" fillId="4" borderId="6" xfId="0" applyNumberFormat="1" applyFont="1" applyFill="1" applyBorder="1" applyProtection="1"/>
    <xf numFmtId="0" fontId="17" fillId="0" borderId="3" xfId="0" applyNumberFormat="1" applyFont="1" applyFill="1" applyBorder="1" applyAlignment="1" applyProtection="1">
      <alignment horizontal="center"/>
    </xf>
    <xf numFmtId="3" fontId="0" fillId="0" borderId="0" xfId="0" applyNumberFormat="1"/>
    <xf numFmtId="0" fontId="6" fillId="0" borderId="9" xfId="0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18" fillId="0" borderId="0" xfId="0" applyFont="1" applyFill="1" applyAlignment="1" applyProtection="1">
      <alignment horizontal="left"/>
    </xf>
    <xf numFmtId="0" fontId="13" fillId="0" borderId="9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5" fillId="0" borderId="13" xfId="0" applyFont="1" applyBorder="1" applyAlignment="1" applyProtection="1">
      <alignment horizontal="center"/>
    </xf>
    <xf numFmtId="37" fontId="2" fillId="0" borderId="0" xfId="0" applyNumberFormat="1" applyFont="1" applyFill="1"/>
    <xf numFmtId="37" fontId="1" fillId="0" borderId="0" xfId="0" applyNumberFormat="1" applyFont="1" applyFill="1"/>
    <xf numFmtId="0" fontId="19" fillId="0" borderId="13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F51"/>
  <sheetViews>
    <sheetView tabSelected="1" zoomScale="72" zoomScaleNormal="72" workbookViewId="0">
      <pane xSplit="6" ySplit="12" topLeftCell="G13" activePane="bottomRight" state="frozen"/>
      <selection pane="topRight" activeCell="K1" sqref="K1"/>
      <selection pane="bottomLeft" activeCell="A13" sqref="A13"/>
      <selection pane="bottomRight" activeCell="S1" sqref="S1:AG1048576"/>
    </sheetView>
  </sheetViews>
  <sheetFormatPr baseColWidth="10" defaultRowHeight="12" x14ac:dyDescent="0.2"/>
  <cols>
    <col min="1" max="1" width="6.28515625" style="1" customWidth="1"/>
    <col min="2" max="3" width="11.42578125" style="1"/>
    <col min="4" max="4" width="17.85546875" style="1" customWidth="1"/>
    <col min="5" max="6" width="11.42578125" style="1"/>
    <col min="7" max="7" width="11.42578125" style="1" customWidth="1"/>
    <col min="8" max="8" width="9.28515625" style="1" customWidth="1"/>
    <col min="9" max="9" width="11.42578125" style="1"/>
    <col min="10" max="10" width="10.5703125" style="1" customWidth="1"/>
    <col min="11" max="11" width="10" style="1" customWidth="1"/>
    <col min="12" max="12" width="9.140625" style="1" customWidth="1"/>
    <col min="13" max="13" width="9.7109375" style="1" customWidth="1"/>
    <col min="14" max="14" width="9.28515625" style="1" customWidth="1"/>
    <col min="15" max="15" width="9.140625" style="1" customWidth="1"/>
    <col min="16" max="16" width="8.85546875" style="1" customWidth="1"/>
    <col min="17" max="17" width="9.7109375" style="1" customWidth="1"/>
    <col min="18" max="18" width="11.42578125" style="1"/>
    <col min="19" max="19" width="14.85546875" style="1" hidden="1" customWidth="1"/>
    <col min="20" max="20" width="10.140625" style="1" hidden="1" customWidth="1"/>
    <col min="21" max="22" width="6.42578125" style="1" hidden="1" customWidth="1"/>
    <col min="23" max="24" width="7" style="1" hidden="1" customWidth="1"/>
    <col min="25" max="26" width="7.28515625" style="1" hidden="1" customWidth="1"/>
    <col min="27" max="27" width="6.85546875" style="1" hidden="1" customWidth="1"/>
    <col min="28" max="28" width="7" style="1" hidden="1" customWidth="1"/>
    <col min="29" max="33" width="0" style="1" hidden="1" customWidth="1"/>
    <col min="34" max="16384" width="11.42578125" style="1"/>
  </cols>
  <sheetData>
    <row r="1" spans="2:32" x14ac:dyDescent="0.2">
      <c r="B1" s="144" t="s">
        <v>0</v>
      </c>
      <c r="C1" s="144"/>
      <c r="D1" s="144"/>
    </row>
    <row r="2" spans="2:32" x14ac:dyDescent="0.2">
      <c r="B2" s="144" t="s">
        <v>1</v>
      </c>
      <c r="C2" s="144"/>
      <c r="D2" s="144"/>
    </row>
    <row r="3" spans="2:32" x14ac:dyDescent="0.2">
      <c r="B3" s="144" t="s">
        <v>2</v>
      </c>
      <c r="C3" s="144"/>
      <c r="D3" s="144"/>
    </row>
    <row r="4" spans="2:32" ht="16.5" x14ac:dyDescent="0.3">
      <c r="B4" s="145" t="s">
        <v>94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2:32" ht="15" x14ac:dyDescent="0.25">
      <c r="B5" s="143" t="s">
        <v>3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</row>
    <row r="6" spans="2:32" x14ac:dyDescent="0.2">
      <c r="B6" s="2"/>
      <c r="C6" s="2"/>
      <c r="D6" s="2"/>
      <c r="E6" s="2"/>
      <c r="F6" s="2"/>
      <c r="G6" s="2"/>
      <c r="I6" s="2"/>
      <c r="K6" s="2"/>
      <c r="L6" s="2"/>
      <c r="M6" s="2"/>
      <c r="N6" s="2"/>
      <c r="O6" s="140"/>
      <c r="P6" s="2"/>
      <c r="Q6" s="2"/>
      <c r="R6" s="2"/>
      <c r="S6" s="2"/>
    </row>
    <row r="7" spans="2:32" ht="15" x14ac:dyDescent="0.25">
      <c r="B7" s="3" t="s">
        <v>4</v>
      </c>
      <c r="C7" s="4"/>
      <c r="D7" s="133" t="s">
        <v>5</v>
      </c>
      <c r="E7" s="2"/>
      <c r="F7" s="2"/>
      <c r="G7" s="2"/>
      <c r="H7" s="2"/>
      <c r="I7" s="2"/>
      <c r="J7" s="140"/>
      <c r="K7" s="2"/>
      <c r="L7" s="2"/>
      <c r="M7" s="140"/>
      <c r="N7" s="2"/>
      <c r="O7" s="140"/>
      <c r="P7" s="140"/>
      <c r="Q7" s="2"/>
      <c r="R7" s="140"/>
      <c r="S7" s="2"/>
    </row>
    <row r="8" spans="2:32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W8" s="1" t="s">
        <v>74</v>
      </c>
    </row>
    <row r="9" spans="2:32" ht="16.5" x14ac:dyDescent="0.3">
      <c r="B9" s="5"/>
      <c r="C9" s="6"/>
      <c r="D9" s="6"/>
      <c r="E9" s="128" t="s">
        <v>6</v>
      </c>
      <c r="F9" s="131" t="s">
        <v>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</row>
    <row r="10" spans="2:32" ht="16.5" x14ac:dyDescent="0.3">
      <c r="B10" s="8" t="s">
        <v>8</v>
      </c>
      <c r="C10" s="9" t="s">
        <v>9</v>
      </c>
      <c r="D10" s="9" t="s">
        <v>10</v>
      </c>
      <c r="E10" s="129">
        <v>2025</v>
      </c>
      <c r="F10" s="132" t="s">
        <v>11</v>
      </c>
      <c r="G10" s="9" t="s">
        <v>12</v>
      </c>
      <c r="H10" s="9" t="s">
        <v>13</v>
      </c>
      <c r="I10" s="9" t="s">
        <v>14</v>
      </c>
      <c r="J10" s="9" t="s">
        <v>15</v>
      </c>
      <c r="K10" s="9" t="s">
        <v>16</v>
      </c>
      <c r="L10" s="9" t="s">
        <v>17</v>
      </c>
      <c r="M10" s="9" t="s">
        <v>18</v>
      </c>
      <c r="N10" s="9" t="s">
        <v>19</v>
      </c>
      <c r="O10" s="9" t="s">
        <v>20</v>
      </c>
      <c r="P10" s="9" t="s">
        <v>21</v>
      </c>
      <c r="Q10" s="9" t="s">
        <v>22</v>
      </c>
      <c r="R10" s="9" t="s">
        <v>23</v>
      </c>
      <c r="S10" s="10"/>
      <c r="U10" s="11" t="s">
        <v>24</v>
      </c>
      <c r="V10" s="11" t="s">
        <v>25</v>
      </c>
      <c r="W10" s="11" t="s">
        <v>26</v>
      </c>
      <c r="X10" s="11" t="s">
        <v>27</v>
      </c>
      <c r="Y10" s="11" t="s">
        <v>26</v>
      </c>
      <c r="Z10" s="11" t="s">
        <v>28</v>
      </c>
      <c r="AA10" s="11" t="s">
        <v>28</v>
      </c>
      <c r="AB10" s="11" t="s">
        <v>27</v>
      </c>
      <c r="AC10" s="11" t="s">
        <v>29</v>
      </c>
      <c r="AD10" s="11" t="s">
        <v>30</v>
      </c>
      <c r="AE10" s="11" t="s">
        <v>31</v>
      </c>
      <c r="AF10" s="11" t="s">
        <v>32</v>
      </c>
    </row>
    <row r="11" spans="2:32" ht="16.5" x14ac:dyDescent="0.3">
      <c r="B11" s="12"/>
      <c r="C11" s="13"/>
      <c r="D11" s="13"/>
      <c r="E11" s="130" t="s">
        <v>33</v>
      </c>
      <c r="F11" s="142">
        <v>2025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7"/>
    </row>
    <row r="12" spans="2:32" ht="16.5" x14ac:dyDescent="0.3">
      <c r="B12" s="14" t="s">
        <v>34</v>
      </c>
      <c r="C12" s="15" t="s">
        <v>35</v>
      </c>
      <c r="D12" s="15" t="s">
        <v>36</v>
      </c>
      <c r="E12" s="16">
        <f>SUM(Caravel:Acari!E14:E14)+SUM(Atico:Yauca!E14:E14)+SUM(Jaqui:Atiquipa!E14:E14)+SUM(Chala:Chaparra!E14:E14)+SUM(Huanuhuanu:Quicacha!E14:E14)+SUM(BellaUnion:Cahuacho!E14:E14)</f>
        <v>24820</v>
      </c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</row>
    <row r="13" spans="2:32" ht="16.5" x14ac:dyDescent="0.3">
      <c r="B13" s="14" t="s">
        <v>37</v>
      </c>
      <c r="C13" s="19" t="s">
        <v>38</v>
      </c>
      <c r="D13" s="15" t="s">
        <v>39</v>
      </c>
      <c r="E13" s="16"/>
      <c r="F13" s="16">
        <f>SUM(G13:R13)</f>
        <v>70871</v>
      </c>
      <c r="G13" s="16">
        <f>SUM(Caravel:Acari!G15:G15)+SUM(Atico:Yauca!G15:G15)+SUM(Jaqui:Atiquipa!G15:G15)+SUM(Chala:Chaparra!G15:G15)+SUM(Huanuhuanu:Quicacha!G15:G15)+SUM(BellaUnion:Cahuacho!G15:G15)</f>
        <v>5995</v>
      </c>
      <c r="H13" s="16">
        <f>SUM(Caravel:Acari!H15:H15)+SUM(Atico:Yauca!H15:H15)+SUM(Jaqui:Atiquipa!H15:H15)+SUM(Chala:Chaparra!H15:H15)+SUM(Huanuhuanu:Quicacha!H15:H15)+SUM(BellaUnion:Cahuacho!H15:H15)</f>
        <v>5934</v>
      </c>
      <c r="I13" s="16">
        <f>SUM(Caravel:Acari!I15:I15)+SUM(Atico:Yauca!I15:I15)+SUM(Jaqui:Atiquipa!I15:I15)+SUM(Chala:Chaparra!I15:I15)+SUM(Huanuhuanu:Quicacha!I15:I15)+SUM(BellaUnion:Cahuacho!I15:I15)</f>
        <v>5084</v>
      </c>
      <c r="J13" s="16">
        <f>SUM(Caravel:Acari!J15:J15)+SUM(Atico:Yauca!J15:J15)+SUM(Jaqui:Atiquipa!J15:J15)+SUM(Chala:Chaparra!J15:J15)+SUM(Huanuhuanu:Quicacha!J15:J15)+SUM(BellaUnion:Cahuacho!J15:J15)</f>
        <v>5584</v>
      </c>
      <c r="K13" s="16">
        <f>SUM(Caravel:Acari!K15:K15)+SUM(Atico:Yauca!K15:K15)+SUM(Jaqui:Atiquipa!K15:K15)+SUM(Chala:Chaparra!K15:K15)+SUM(Huanuhuanu:Quicacha!K15:K15)+SUM(BellaUnion:Cahuacho!K15:K15)</f>
        <v>5556</v>
      </c>
      <c r="L13" s="16">
        <f>SUM(Caravel:Acari!L15:L15)+SUM(Atico:Yauca!L15:L15)+SUM(Jaqui:Atiquipa!L15:L15)+SUM(Chala:Chaparra!L15:L15)+SUM(Huanuhuanu:Quicacha!L15:L15)+SUM(BellaUnion:Cahuacho!L15:L15)</f>
        <v>5464</v>
      </c>
      <c r="M13" s="16">
        <f>SUM(Caravel:Acari!M15:M15)+SUM(Atico:Yauca!M15:M15)+SUM(Jaqui:Atiquipa!M15:M15)+SUM(Chala:Chaparra!M15:M15)+SUM(Huanuhuanu:Quicacha!M15:M15)+SUM(BellaUnion:Cahuacho!M15:M15)</f>
        <v>6117</v>
      </c>
      <c r="N13" s="16">
        <f>SUM(Caravel:Acari!N15:N15)+SUM(Atico:Yauca!N15:N15)+SUM(Jaqui:Atiquipa!N15:N15)+SUM(Chala:Chaparra!N15:N15)+SUM(Huanuhuanu:Quicacha!N15:N15)+SUM(BellaUnion:Cahuacho!N15:N15)</f>
        <v>6294</v>
      </c>
      <c r="O13" s="16">
        <f>SUM(Caravel:Acari!O15:O15)+SUM(Atico:Yauca!O15:O15)+SUM(Jaqui:Atiquipa!O15:O15)+SUM(Chala:Chaparra!O15:O15)+SUM(Huanuhuanu:Quicacha!O15:O15)+SUM(BellaUnion:Cahuacho!O15:O15)</f>
        <v>6323</v>
      </c>
      <c r="P13" s="16">
        <f>SUM(Caravel:Acari!P15:P15)+SUM(Atico:Yauca!P15:P15)+SUM(Jaqui:Atiquipa!P15:P15)+SUM(Chala:Chaparra!P15:P15)+SUM(Huanuhuanu:Quicacha!P15:P15)+SUM(BellaUnion:Cahuacho!P15:P15)</f>
        <v>6247</v>
      </c>
      <c r="Q13" s="16">
        <f>SUM(Caravel:Acari!Q15:Q15)+SUM(Atico:Yauca!Q15:Q15)+SUM(Jaqui:Atiquipa!Q15:Q15)+SUM(Chala:Chaparra!Q15:Q15)+SUM(Huanuhuanu:Quicacha!Q15:Q15)+SUM(BellaUnion:Cahuacho!Q15:Q15)</f>
        <v>6148</v>
      </c>
      <c r="R13" s="16">
        <f>SUM(Caravel:Acari!R15:R15)+SUM(Atico:Yauca!R15:R15)+SUM(Jaqui:Atiquipa!R15:R15)+SUM(Chala:Chaparra!R15:R15)+SUM(Huanuhuanu:Quicacha!R15:R15)+SUM(BellaUnion:Cahuacho!R15:R15)</f>
        <v>6125</v>
      </c>
      <c r="S13" s="20"/>
      <c r="T13" s="21"/>
    </row>
    <row r="14" spans="2:32" ht="16.5" x14ac:dyDescent="0.3">
      <c r="B14" s="12"/>
      <c r="C14" s="15" t="s">
        <v>40</v>
      </c>
      <c r="D14" s="15" t="s">
        <v>41</v>
      </c>
      <c r="E14" s="16"/>
      <c r="F14" s="114">
        <f>SUM(G14:R14)</f>
        <v>160.55710000000002</v>
      </c>
      <c r="G14" s="114">
        <f>SUM(Caravel:Acari!G16:G16)+SUM(Atico:Yauca!G16:G16)+SUM(Jaqui:Atiquipa!G16:G16)+SUM(Chala:Chaparra!G16:G16)+SUM(Huanuhuanu:Quicacha!G16:G16)+SUM(BellaUnion:Cahuacho!G16:G16)</f>
        <v>13.497949999999998</v>
      </c>
      <c r="H14" s="114">
        <f>SUM(Caravel:Acari!H16:H16)+SUM(Atico:Yauca!H16:H16)+SUM(Jaqui:Atiquipa!H16:H16)+SUM(Chala:Chaparra!H16:H16)+SUM(Huanuhuanu:Quicacha!H16:H16)+SUM(BellaUnion:Cahuacho!H16:H16)</f>
        <v>13.55101</v>
      </c>
      <c r="I14" s="114">
        <f>SUM(Caravel:Acari!I16:I16)+SUM(Atico:Yauca!I16:I16)+SUM(Jaqui:Atiquipa!I16:I16)+SUM(Chala:Chaparra!I16:I16)+SUM(Huanuhuanu:Quicacha!I16:I16)+SUM(BellaUnion:Cahuacho!I16:I16)</f>
        <v>11.626560000000001</v>
      </c>
      <c r="J14" s="114">
        <f>SUM(Caravel:Acari!J16:J16)+SUM(Atico:Yauca!J16:J16)+SUM(Jaqui:Atiquipa!J16:J16)+SUM(Chala:Chaparra!J16:J16)+SUM(Huanuhuanu:Quicacha!J16:J16)+SUM(BellaUnion:Cahuacho!J16:J16)</f>
        <v>12.743079999999999</v>
      </c>
      <c r="K14" s="114">
        <f>SUM(Caravel:Acari!K16:K16)+SUM(Atico:Yauca!K16:K16)+SUM(Jaqui:Atiquipa!K16:K16)+SUM(Chala:Chaparra!K16:K16)+SUM(Huanuhuanu:Quicacha!K16:K16)+SUM(BellaUnion:Cahuacho!K16:K16)</f>
        <v>12.618549999999999</v>
      </c>
      <c r="L14" s="114">
        <f>SUM(Caravel:Acari!L16:L16)+SUM(Atico:Yauca!L16:L16)+SUM(Jaqui:Atiquipa!L16:L16)+SUM(Chala:Chaparra!L16:L16)+SUM(Huanuhuanu:Quicacha!L16:L16)+SUM(BellaUnion:Cahuacho!L16:L16)</f>
        <v>12.354050000000001</v>
      </c>
      <c r="M14" s="114">
        <f>SUM(Caravel:Acari!M16:M16)+SUM(Atico:Yauca!M16:M16)+SUM(Jaqui:Atiquipa!M16:M16)+SUM(Chala:Chaparra!M16:M16)+SUM(Huanuhuanu:Quicacha!M16:M16)+SUM(BellaUnion:Cahuacho!M16:M16)</f>
        <v>13.782330000000002</v>
      </c>
      <c r="N14" s="114">
        <f>SUM(Caravel:Acari!N16:N16)+SUM(Atico:Yauca!N16:N16)+SUM(Jaqui:Atiquipa!N16:N16)+SUM(Chala:Chaparra!N16:N16)+SUM(Huanuhuanu:Quicacha!N16:N16)+SUM(BellaUnion:Cahuacho!N16:N16)</f>
        <v>14.192929999999999</v>
      </c>
      <c r="O14" s="114">
        <f>SUM(Caravel:Acari!O16:O16)+SUM(Atico:Yauca!O16:O16)+SUM(Jaqui:Atiquipa!O16:O16)+SUM(Chala:Chaparra!O16:O16)+SUM(Huanuhuanu:Quicacha!O16:O16)+SUM(BellaUnion:Cahuacho!O16:O16)</f>
        <v>14.24145</v>
      </c>
      <c r="P14" s="114">
        <f>SUM(Caravel:Acari!P16:P16)+SUM(Atico:Yauca!P16:P16)+SUM(Jaqui:Atiquipa!P16:P16)+SUM(Chala:Chaparra!P16:P16)+SUM(Huanuhuanu:Quicacha!P16:P16)+SUM(BellaUnion:Cahuacho!P16:P16)</f>
        <v>14.136839999999999</v>
      </c>
      <c r="Q14" s="114">
        <f>SUM(Caravel:Acari!Q16:Q16)+SUM(Atico:Yauca!Q16:Q16)+SUM(Jaqui:Atiquipa!Q16:Q16)+SUM(Chala:Chaparra!Q16:Q16)+SUM(Huanuhuanu:Quicacha!Q16:Q16)+SUM(BellaUnion:Cahuacho!Q16:Q16)</f>
        <v>13.920429999999998</v>
      </c>
      <c r="R14" s="114">
        <f>SUM(Caravel:Acari!R16:R16)+SUM(Atico:Yauca!R16:R16)+SUM(Jaqui:Atiquipa!R16:R16)+SUM(Chala:Chaparra!R16:R16)+SUM(Huanuhuanu:Quicacha!R16:R16)+SUM(BellaUnion:Cahuacho!R16:R16)</f>
        <v>13.891919999999995</v>
      </c>
      <c r="S14" s="24" t="s">
        <v>42</v>
      </c>
      <c r="T14" s="25">
        <f>AVERAGE(U14:AE14)</f>
        <v>2.2658095575915618</v>
      </c>
      <c r="U14" s="26">
        <f t="shared" ref="U14:AF14" si="0">G14*1000/G13</f>
        <v>2.2515346121768136</v>
      </c>
      <c r="V14" s="26">
        <f t="shared" si="0"/>
        <v>2.2836215032018874</v>
      </c>
      <c r="W14" s="26">
        <f t="shared" si="0"/>
        <v>2.2868922108575926</v>
      </c>
      <c r="X14" s="26">
        <f t="shared" si="0"/>
        <v>2.2820702005730658</v>
      </c>
      <c r="Y14" s="26">
        <f t="shared" si="0"/>
        <v>2.2711573074154066</v>
      </c>
      <c r="Z14" s="26">
        <f t="shared" si="0"/>
        <v>2.2609901171303077</v>
      </c>
      <c r="AA14" s="26">
        <f t="shared" si="0"/>
        <v>2.2531191760666998</v>
      </c>
      <c r="AB14" s="26">
        <f t="shared" si="0"/>
        <v>2.254993644741023</v>
      </c>
      <c r="AC14" s="26">
        <f t="shared" si="0"/>
        <v>2.2523248458010441</v>
      </c>
      <c r="AD14" s="26">
        <f t="shared" si="0"/>
        <v>2.2629806307027374</v>
      </c>
      <c r="AE14" s="26">
        <f t="shared" si="0"/>
        <v>2.2642208848405985</v>
      </c>
      <c r="AF14" s="26">
        <f t="shared" si="0"/>
        <v>2.2680685714285707</v>
      </c>
    </row>
    <row r="15" spans="2:32" ht="16.5" x14ac:dyDescent="0.3">
      <c r="B15" s="14" t="s">
        <v>34</v>
      </c>
      <c r="C15" s="19" t="s">
        <v>43</v>
      </c>
      <c r="D15" s="15" t="s">
        <v>44</v>
      </c>
      <c r="E15" s="16"/>
      <c r="F15" s="16">
        <f>AVERAGE(G15:R15)</f>
        <v>2741.3333333333335</v>
      </c>
      <c r="G15" s="16">
        <f>SUM(Caravel:Acari!G17:G17)+SUM(Atico:Yauca!G17:G17)+SUM(Jaqui:Atiquipa!G17:G17)+SUM(Chala:Chaparra!G17:G17)+SUM(Huanuhuanu:Quicacha!G17:G17)+SUM(BellaUnion:Cahuacho!G17:G17)</f>
        <v>2900</v>
      </c>
      <c r="H15" s="16">
        <f>SUM(Caravel:Acari!H17:H17)+SUM(Atico:Yauca!H17:H17)+SUM(Jaqui:Atiquipa!H17:H17)+SUM(Chala:Chaparra!H17:H17)+SUM(Huanuhuanu:Quicacha!H17:H17)+SUM(BellaUnion:Cahuacho!H17:H17)</f>
        <v>2804</v>
      </c>
      <c r="I15" s="16">
        <f>SUM(Caravel:Acari!I17:I17)+SUM(Atico:Yauca!I17:I17)+SUM(Jaqui:Atiquipa!I17:I17)+SUM(Chala:Chaparra!I17:I17)+SUM(Huanuhuanu:Quicacha!I17:I17)+SUM(BellaUnion:Cahuacho!I17:I17)</f>
        <v>2538</v>
      </c>
      <c r="J15" s="16">
        <f>SUM(Caravel:Acari!J17:J17)+SUM(Atico:Yauca!J17:J17)+SUM(Jaqui:Atiquipa!J17:J17)+SUM(Chala:Chaparra!J17:J17)+SUM(Huanuhuanu:Quicacha!J17:J17)+SUM(BellaUnion:Cahuacho!J17:J17)</f>
        <v>2569</v>
      </c>
      <c r="K15" s="16">
        <f>SUM(Caravel:Acari!K17:K17)+SUM(Atico:Yauca!K17:K17)+SUM(Jaqui:Atiquipa!K17:K17)+SUM(Chala:Chaparra!K17:K17)+SUM(Huanuhuanu:Quicacha!K17:K17)+SUM(BellaUnion:Cahuacho!K17:K17)</f>
        <v>2597</v>
      </c>
      <c r="L15" s="16">
        <f>SUM(Caravel:Acari!L17:L17)+SUM(Atico:Yauca!L17:L17)+SUM(Jaqui:Atiquipa!L17:L17)+SUM(Chala:Chaparra!L17:L17)+SUM(Huanuhuanu:Quicacha!L17:L17)+SUM(BellaUnion:Cahuacho!L17:L17)</f>
        <v>2651</v>
      </c>
      <c r="M15" s="16">
        <f>SUM(Caravel:Acari!M17:M17)+SUM(Atico:Yauca!M17:M17)+SUM(Jaqui:Atiquipa!M17:M17)+SUM(Chala:Chaparra!M17:M17)+SUM(Huanuhuanu:Quicacha!M17:M17)+SUM(BellaUnion:Cahuacho!M17:M17)</f>
        <v>2855</v>
      </c>
      <c r="N15" s="16">
        <f>SUM(Caravel:Acari!N17:N17)+SUM(Atico:Yauca!N17:N17)+SUM(Jaqui:Atiquipa!N17:N17)+SUM(Chala:Chaparra!N17:N17)+SUM(Huanuhuanu:Quicacha!N17:N17)+SUM(BellaUnion:Cahuacho!N17:N17)</f>
        <v>2936</v>
      </c>
      <c r="O15" s="16">
        <f>SUM(Caravel:Acari!O17:O17)+SUM(Atico:Yauca!O17:O17)+SUM(Jaqui:Atiquipa!O17:O17)+SUM(Chala:Chaparra!O17:O17)+SUM(Huanuhuanu:Quicacha!O17:O17)+SUM(BellaUnion:Cahuacho!O17:O17)</f>
        <v>2989</v>
      </c>
      <c r="P15" s="16">
        <f>SUM(Caravel:Acari!P17:P17)+SUM(Atico:Yauca!P17:P17)+SUM(Jaqui:Atiquipa!P17:P17)+SUM(Chala:Chaparra!P17:P17)+SUM(Huanuhuanu:Quicacha!P17:P17)+SUM(BellaUnion:Cahuacho!P17:P17)</f>
        <v>2673</v>
      </c>
      <c r="Q15" s="16">
        <f>SUM(Caravel:Acari!Q17:Q17)+SUM(Atico:Yauca!Q17:Q17)+SUM(Jaqui:Atiquipa!Q17:Q17)+SUM(Chala:Chaparra!Q17:Q17)+SUM(Huanuhuanu:Quicacha!Q17:Q17)+SUM(BellaUnion:Cahuacho!Q17:Q17)</f>
        <v>2696</v>
      </c>
      <c r="R15" s="16">
        <f>SUM(Caravel:Acari!R17:R17)+SUM(Atico:Yauca!R17:R17)+SUM(Jaqui:Atiquipa!R17:R17)+SUM(Chala:Chaparra!R17:R17)+SUM(Huanuhuanu:Quicacha!R17:R17)+SUM(BellaUnion:Cahuacho!R17:R17)</f>
        <v>2688</v>
      </c>
      <c r="S15" s="27" t="s">
        <v>45</v>
      </c>
      <c r="T15" s="25">
        <f>AVERAGE(U15:AE15)</f>
        <v>136.18775748303347</v>
      </c>
      <c r="U15" s="26">
        <f>U16*12</f>
        <v>146.29241379310344</v>
      </c>
      <c r="V15" s="26">
        <f t="shared" ref="V15:AF15" si="1">V16*12</f>
        <v>148.65192582025676</v>
      </c>
      <c r="W15" s="26">
        <f t="shared" si="1"/>
        <v>147.39479905437352</v>
      </c>
      <c r="X15" s="26">
        <f t="shared" si="1"/>
        <v>147.32580770727913</v>
      </c>
      <c r="Y15" s="26">
        <f t="shared" si="1"/>
        <v>137.67423950712359</v>
      </c>
      <c r="Z15" s="26">
        <f t="shared" si="1"/>
        <v>125.93889098453417</v>
      </c>
      <c r="AA15" s="26">
        <f t="shared" si="1"/>
        <v>120.43712784588442</v>
      </c>
      <c r="AB15" s="26">
        <f t="shared" si="1"/>
        <v>119.65667574931878</v>
      </c>
      <c r="AC15" s="26">
        <f t="shared" si="1"/>
        <v>127.53563064570091</v>
      </c>
      <c r="AD15" s="26">
        <f t="shared" si="1"/>
        <v>138.32547699214365</v>
      </c>
      <c r="AE15" s="26">
        <f t="shared" si="1"/>
        <v>138.83234421364986</v>
      </c>
      <c r="AF15" s="26">
        <f t="shared" si="1"/>
        <v>141.36607142857144</v>
      </c>
    </row>
    <row r="16" spans="2:32" ht="16.5" x14ac:dyDescent="0.3">
      <c r="B16" s="28" t="s">
        <v>46</v>
      </c>
      <c r="C16" s="13"/>
      <c r="D16" s="15" t="s">
        <v>41</v>
      </c>
      <c r="E16" s="16"/>
      <c r="F16" s="114">
        <f t="shared" ref="F16:F29" si="2">SUM(G16:R16)</f>
        <v>23.361624999999997</v>
      </c>
      <c r="G16" s="114">
        <f>SUM(Caravel:Acari!G18:G18)+SUM(Atico:Yauca!G18:G18)+SUM(Jaqui:Atiquipa!G18:G18)+SUM(Chala:Chaparra!G18:G18)+SUM(Huanuhuanu:Quicacha!G18:G18)+SUM(BellaUnion:Cahuacho!G18:G18)</f>
        <v>2.209625</v>
      </c>
      <c r="H16" s="114">
        <f>SUM(Caravel:Acari!H18:H18)+SUM(Atico:Yauca!H18:H18)+SUM(Jaqui:Atiquipa!H18:H18)+SUM(Chala:Chaparra!H18:H18)+SUM(Huanuhuanu:Quicacha!H18:H18)+SUM(BellaUnion:Cahuacho!H18:H18)</f>
        <v>2.1709375</v>
      </c>
      <c r="I16" s="114">
        <f>SUM(Caravel:Acari!I18:I18)+SUM(Atico:Yauca!I18:I18)+SUM(Jaqui:Atiquipa!I18:I18)+SUM(Chala:Chaparra!I18:I18)+SUM(Huanuhuanu:Quicacha!I18:I18)+SUM(BellaUnion:Cahuacho!I18:I18)</f>
        <v>1.948375</v>
      </c>
      <c r="J16" s="114">
        <f>SUM(Caravel:Acari!J18:J18)+SUM(Atico:Yauca!J18:J18)+SUM(Jaqui:Atiquipa!J18:J18)+SUM(Chala:Chaparra!J18:J18)+SUM(Huanuhuanu:Quicacha!J18:J18)+SUM(BellaUnion:Cahuacho!J18:J18)</f>
        <v>1.9712500000000002</v>
      </c>
      <c r="K16" s="114">
        <f>SUM(Caravel:Acari!K18:K18)+SUM(Atico:Yauca!K18:K18)+SUM(Jaqui:Atiquipa!K18:K18)+SUM(Chala:Chaparra!K18:K18)+SUM(Huanuhuanu:Quicacha!K18:K18)+SUM(BellaUnion:Cahuacho!K18:K18)</f>
        <v>1.8621874999999997</v>
      </c>
      <c r="L16" s="114">
        <f>SUM(Caravel:Acari!L18:L18)+SUM(Atico:Yauca!L18:L18)+SUM(Jaqui:Atiquipa!L18:L18)+SUM(Chala:Chaparra!L18:L18)+SUM(Huanuhuanu:Quicacha!L18:L18)+SUM(BellaUnion:Cahuacho!L18:L18)</f>
        <v>1.7388750000000002</v>
      </c>
      <c r="M16" s="114">
        <f>SUM(Caravel:Acari!M18:M18)+SUM(Atico:Yauca!M18:M18)+SUM(Jaqui:Atiquipa!M18:M18)+SUM(Chala:Chaparra!M18:M18)+SUM(Huanuhuanu:Quicacha!M18:M18)+SUM(BellaUnion:Cahuacho!M18:M18)</f>
        <v>1.790875</v>
      </c>
      <c r="N16" s="114">
        <f>SUM(Caravel:Acari!N18:N18)+SUM(Atico:Yauca!N18:N18)+SUM(Jaqui:Atiquipa!N18:N18)+SUM(Chala:Chaparra!N18:N18)+SUM(Huanuhuanu:Quicacha!N18:N18)+SUM(BellaUnion:Cahuacho!N18:N18)</f>
        <v>1.8297499999999998</v>
      </c>
      <c r="O16" s="114">
        <f>SUM(Caravel:Acari!O18:O18)+SUM(Atico:Yauca!O18:O18)+SUM(Jaqui:Atiquipa!O18:O18)+SUM(Chala:Chaparra!O18:O18)+SUM(Huanuhuanu:Quicacha!O18:O18)+SUM(BellaUnion:Cahuacho!O18:O18)</f>
        <v>1.9854374999999997</v>
      </c>
      <c r="P16" s="114">
        <f>SUM(Caravel:Acari!P18:P18)+SUM(Atico:Yauca!P18:P18)+SUM(Jaqui:Atiquipa!P18:P18)+SUM(Chala:Chaparra!P18:P18)+SUM(Huanuhuanu:Quicacha!P18:P18)+SUM(BellaUnion:Cahuacho!P18:P18)</f>
        <v>1.9257499999999999</v>
      </c>
      <c r="Q16" s="114">
        <f>SUM(Caravel:Acari!Q18:Q18)+SUM(Atico:Yauca!Q18:Q18)+SUM(Jaqui:Atiquipa!Q18:Q18)+SUM(Chala:Chaparra!Q18:Q18)+SUM(Huanuhuanu:Quicacha!Q18:Q18)+SUM(BellaUnion:Cahuacho!Q18:Q18)</f>
        <v>1.9494374999999999</v>
      </c>
      <c r="R16" s="114">
        <f>SUM(Caravel:Acari!R18:R18)+SUM(Atico:Yauca!R18:R18)+SUM(Jaqui:Atiquipa!R18:R18)+SUM(Chala:Chaparra!R18:R18)+SUM(Huanuhuanu:Quicacha!R18:R18)+SUM(BellaUnion:Cahuacho!R18:R18)</f>
        <v>1.9791250000000002</v>
      </c>
      <c r="S16" s="24" t="s">
        <v>47</v>
      </c>
      <c r="T16" s="25">
        <f>AVERAGE(U16:AE16)</f>
        <v>11.348979790252791</v>
      </c>
      <c r="U16" s="26">
        <f>(G16*1000/G15)*16</f>
        <v>12.191034482758621</v>
      </c>
      <c r="V16" s="26">
        <f t="shared" ref="V16:AF16" si="3">(H16*1000/H15)*16</f>
        <v>12.387660485021398</v>
      </c>
      <c r="W16" s="26">
        <f t="shared" si="3"/>
        <v>12.282899921197794</v>
      </c>
      <c r="X16" s="26">
        <f t="shared" si="3"/>
        <v>12.277150642273259</v>
      </c>
      <c r="Y16" s="26">
        <f t="shared" si="3"/>
        <v>11.472853292260298</v>
      </c>
      <c r="Z16" s="26">
        <f t="shared" si="3"/>
        <v>10.494907582044513</v>
      </c>
      <c r="AA16" s="26">
        <f t="shared" si="3"/>
        <v>10.036427320490368</v>
      </c>
      <c r="AB16" s="26">
        <f t="shared" si="3"/>
        <v>9.9713896457765649</v>
      </c>
      <c r="AC16" s="26">
        <f t="shared" si="3"/>
        <v>10.627969220475075</v>
      </c>
      <c r="AD16" s="26">
        <f t="shared" si="3"/>
        <v>11.527123082678637</v>
      </c>
      <c r="AE16" s="26">
        <f t="shared" si="3"/>
        <v>11.569362017804155</v>
      </c>
      <c r="AF16" s="26">
        <f t="shared" si="3"/>
        <v>11.780505952380954</v>
      </c>
    </row>
    <row r="17" spans="2:32" ht="16.5" x14ac:dyDescent="0.3">
      <c r="B17" s="29"/>
      <c r="C17" s="15" t="s">
        <v>35</v>
      </c>
      <c r="D17" s="15" t="s">
        <v>36</v>
      </c>
      <c r="E17" s="16">
        <f>SUM(Caravel:Acari!E19:E19)+SUM(Atico:Yauca!E19:E19)+SUM(Jaqui:Atiquipa!E19:E19)+SUM(Chala:Chaparra!E19:E19)+SUM(Huanuhuanu:Quicacha!E19:E19)+SUM(BellaUnion:Cahuacho!E19:E19)</f>
        <v>4645</v>
      </c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30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16.5" x14ac:dyDescent="0.3">
      <c r="B18" s="29"/>
      <c r="C18" s="19" t="s">
        <v>38</v>
      </c>
      <c r="D18" s="15" t="s">
        <v>48</v>
      </c>
      <c r="E18" s="16"/>
      <c r="F18" s="16">
        <f t="shared" si="2"/>
        <v>977</v>
      </c>
      <c r="G18" s="124">
        <f>SUM(Caravel:Acari!G20:G20)+SUM(Atico:Yauca!G20:G20)+SUM(Jaqui:Atiquipa!G20:G20)+SUM(Chala:Chaparra!G20:G20)+SUM(Huanuhuanu:Quicacha!G20:G20)+SUM(BellaUnion:Cahuacho!G20:G20)</f>
        <v>88</v>
      </c>
      <c r="H18" s="16">
        <f>SUM(Caravel:Acari!H20:H20)+SUM(Atico:Yauca!H20:H20)+SUM(Jaqui:Atiquipa!H20:H20)+SUM(Chala:Chaparra!H20:H20)+SUM(Huanuhuanu:Quicacha!H20:H20)+SUM(BellaUnion:Cahuacho!H20:H20)</f>
        <v>84</v>
      </c>
      <c r="I18" s="16">
        <f>SUM(Caravel:Acari!I20:I20)+SUM(Atico:Yauca!I20:I20)+SUM(Jaqui:Atiquipa!I20:I20)+SUM(Chala:Chaparra!I20:I20)+SUM(Huanuhuanu:Quicacha!I20:I20)+SUM(BellaUnion:Cahuacho!I20:I20)</f>
        <v>75</v>
      </c>
      <c r="J18" s="16">
        <f>SUM(Caravel:Acari!J20:J20)+SUM(Atico:Yauca!J20:J20)+SUM(Jaqui:Atiquipa!J20:J20)+SUM(Chala:Chaparra!J20:J20)+SUM(Huanuhuanu:Quicacha!J20:J20)+SUM(BellaUnion:Cahuacho!J20:J20)</f>
        <v>87</v>
      </c>
      <c r="K18" s="16">
        <f>SUM(Caravel:Acari!K20:K20)+SUM(Atico:Yauca!K20:K20)+SUM(Jaqui:Atiquipa!K20:K20)+SUM(Chala:Chaparra!K20:K20)+SUM(Huanuhuanu:Quicacha!K20:K20)+SUM(BellaUnion:Cahuacho!K20:K20)</f>
        <v>85</v>
      </c>
      <c r="L18" s="16">
        <f>SUM(Caravel:Acari!L20:L20)+SUM(Atico:Yauca!L20:L20)+SUM(Jaqui:Atiquipa!L20:L20)+SUM(Chala:Chaparra!L20:L20)+SUM(Huanuhuanu:Quicacha!L20:L20)+SUM(BellaUnion:Cahuacho!L20:L20)</f>
        <v>77</v>
      </c>
      <c r="M18" s="16">
        <f>SUM(Caravel:Acari!M20:M20)+SUM(Atico:Yauca!M20:M20)+SUM(Jaqui:Atiquipa!M20:M20)+SUM(Chala:Chaparra!M20:M20)+SUM(Huanuhuanu:Quicacha!M20:M20)+SUM(BellaUnion:Cahuacho!M20:M20)</f>
        <v>84</v>
      </c>
      <c r="N18" s="16">
        <f>SUM(Caravel:Acari!N20:N20)+SUM(Atico:Yauca!N20:N20)+SUM(Jaqui:Atiquipa!N20:N20)+SUM(Chala:Chaparra!N20:N20)+SUM(Huanuhuanu:Quicacha!N20:N20)+SUM(BellaUnion:Cahuacho!N20:N20)</f>
        <v>89</v>
      </c>
      <c r="O18" s="16">
        <f>SUM(Caravel:Acari!O20:O20)+SUM(Atico:Yauca!O20:O20)+SUM(Jaqui:Atiquipa!O20:O20)+SUM(Chala:Chaparra!O20:O20)+SUM(Huanuhuanu:Quicacha!O20:O20)+SUM(BellaUnion:Cahuacho!O20:O20)</f>
        <v>84</v>
      </c>
      <c r="P18" s="16">
        <f>SUM(Caravel:Acari!P20:P20)+SUM(Atico:Yauca!P20:P20)+SUM(Jaqui:Atiquipa!P20:P20)+SUM(Chala:Chaparra!P20:P20)+SUM(Huanuhuanu:Quicacha!P20:P20)+SUM(BellaUnion:Cahuacho!P20:P20)</f>
        <v>79</v>
      </c>
      <c r="Q18" s="16">
        <f>SUM(Caravel:Acari!Q20:Q20)+SUM(Atico:Yauca!Q20:Q20)+SUM(Jaqui:Atiquipa!Q20:Q20)+SUM(Chala:Chaparra!Q20:Q20)+SUM(Huanuhuanu:Quicacha!Q20:Q20)+SUM(BellaUnion:Cahuacho!Q20:Q20)</f>
        <v>76</v>
      </c>
      <c r="R18" s="16">
        <f>SUM(Caravel:Acari!R20:R20)+SUM(Atico:Yauca!R20:R20)+SUM(Jaqui:Atiquipa!R20:R20)+SUM(Chala:Chaparra!R20:R20)+SUM(Huanuhuanu:Quicacha!R20:R20)+SUM(BellaUnion:Cahuacho!R20:R20)</f>
        <v>69</v>
      </c>
      <c r="S18" s="31"/>
      <c r="T18" s="21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ht="16.5" x14ac:dyDescent="0.3">
      <c r="B19" s="14" t="s">
        <v>49</v>
      </c>
      <c r="C19" s="15" t="s">
        <v>40</v>
      </c>
      <c r="D19" s="15" t="s">
        <v>41</v>
      </c>
      <c r="E19" s="16"/>
      <c r="F19" s="114">
        <f t="shared" si="2"/>
        <v>145.666</v>
      </c>
      <c r="G19" s="125">
        <f>SUM(Caravel:Acari!G21:G21)+SUM(Atico:Yauca!G21:G21)+SUM(Jaqui:Atiquipa!G21:G21)+SUM(Chala:Chaparra!G21:G21)+SUM(Huanuhuanu:Quicacha!G21:G21)+SUM(BellaUnion:Cahuacho!G21:G21)</f>
        <v>13.182000000000002</v>
      </c>
      <c r="H19" s="114">
        <f>SUM(Caravel:Acari!H21:H21)+SUM(Atico:Yauca!H21:H21)+SUM(Jaqui:Atiquipa!H21:H21)+SUM(Chala:Chaparra!H21:H21)+SUM(Huanuhuanu:Quicacha!H21:H21)+SUM(BellaUnion:Cahuacho!H21:H21)</f>
        <v>12.238</v>
      </c>
      <c r="I19" s="114">
        <f>SUM(Caravel:Acari!I21:I21)+SUM(Atico:Yauca!I21:I21)+SUM(Jaqui:Atiquipa!I21:I21)+SUM(Chala:Chaparra!I21:I21)+SUM(Huanuhuanu:Quicacha!I21:I21)+SUM(BellaUnion:Cahuacho!I21:I21)</f>
        <v>11.093999999999999</v>
      </c>
      <c r="J19" s="114">
        <f>SUM(Caravel:Acari!J21:J21)+SUM(Atico:Yauca!J21:J21)+SUM(Jaqui:Atiquipa!J21:J21)+SUM(Chala:Chaparra!J21:J21)+SUM(Huanuhuanu:Quicacha!J21:J21)+SUM(BellaUnion:Cahuacho!J21:J21)</f>
        <v>13.145999999999999</v>
      </c>
      <c r="K19" s="114">
        <f>SUM(Caravel:Acari!K21:K21)+SUM(Atico:Yauca!K21:K21)+SUM(Jaqui:Atiquipa!K21:K21)+SUM(Chala:Chaparra!K21:K21)+SUM(Huanuhuanu:Quicacha!K21:K21)+SUM(BellaUnion:Cahuacho!K21:K21)</f>
        <v>12.759</v>
      </c>
      <c r="L19" s="114">
        <f>SUM(Caravel:Acari!L21:L21)+SUM(Atico:Yauca!L21:L21)+SUM(Jaqui:Atiquipa!L21:L21)+SUM(Chala:Chaparra!L21:L21)+SUM(Huanuhuanu:Quicacha!L21:L21)+SUM(BellaUnion:Cahuacho!L21:L21)</f>
        <v>11.409000000000001</v>
      </c>
      <c r="M19" s="114">
        <f>SUM(Caravel:Acari!M21:M21)+SUM(Atico:Yauca!M21:M21)+SUM(Jaqui:Atiquipa!M21:M21)+SUM(Chala:Chaparra!M21:M21)+SUM(Huanuhuanu:Quicacha!M21:M21)+SUM(BellaUnion:Cahuacho!M21:M21)</f>
        <v>12.518000000000001</v>
      </c>
      <c r="N19" s="114">
        <f>SUM(Caravel:Acari!N21:N21)+SUM(Atico:Yauca!N21:N21)+SUM(Jaqui:Atiquipa!N21:N21)+SUM(Chala:Chaparra!N21:N21)+SUM(Huanuhuanu:Quicacha!N21:N21)+SUM(BellaUnion:Cahuacho!N21:N21)</f>
        <v>13.315</v>
      </c>
      <c r="O19" s="114">
        <f>SUM(Caravel:Acari!O21:O21)+SUM(Atico:Yauca!O21:O21)+SUM(Jaqui:Atiquipa!O21:O21)+SUM(Chala:Chaparra!O21:O21)+SUM(Huanuhuanu:Quicacha!O21:O21)+SUM(BellaUnion:Cahuacho!O21:O21)</f>
        <v>12.579999999999998</v>
      </c>
      <c r="P19" s="114">
        <f>SUM(Caravel:Acari!P21:P21)+SUM(Atico:Yauca!P21:P21)+SUM(Jaqui:Atiquipa!P21:P21)+SUM(Chala:Chaparra!P21:P21)+SUM(Huanuhuanu:Quicacha!P21:P21)+SUM(BellaUnion:Cahuacho!P21:P21)</f>
        <v>11.749000000000001</v>
      </c>
      <c r="Q19" s="114">
        <f>SUM(Caravel:Acari!Q21:Q21)+SUM(Atico:Yauca!Q21:Q21)+SUM(Jaqui:Atiquipa!Q21:Q21)+SUM(Chala:Chaparra!Q21:Q21)+SUM(Huanuhuanu:Quicacha!Q21:Q21)+SUM(BellaUnion:Cahuacho!Q21:Q21)</f>
        <v>11.399999999999999</v>
      </c>
      <c r="R19" s="114">
        <f>SUM(Caravel:Acari!R21:R21)+SUM(Atico:Yauca!R21:R21)+SUM(Jaqui:Atiquipa!R21:R21)+SUM(Chala:Chaparra!R21:R21)+SUM(Huanuhuanu:Quicacha!R21:R21)+SUM(BellaUnion:Cahuacho!R21:R21)</f>
        <v>10.276</v>
      </c>
      <c r="S19" s="24" t="s">
        <v>42</v>
      </c>
      <c r="T19" s="25">
        <f>AVERAGE(U19:AE19)</f>
        <v>149.08164248905953</v>
      </c>
      <c r="U19" s="26">
        <f>G19*1000/G18</f>
        <v>149.79545454545456</v>
      </c>
      <c r="V19" s="26">
        <f t="shared" ref="V19:AF19" si="4">H19*1000/H18</f>
        <v>145.6904761904762</v>
      </c>
      <c r="W19" s="26">
        <f t="shared" si="4"/>
        <v>147.91999999999999</v>
      </c>
      <c r="X19" s="26">
        <f t="shared" si="4"/>
        <v>151.10344827586204</v>
      </c>
      <c r="Y19" s="26">
        <f t="shared" si="4"/>
        <v>150.10588235294117</v>
      </c>
      <c r="Z19" s="26">
        <f t="shared" si="4"/>
        <v>148.16883116883116</v>
      </c>
      <c r="AA19" s="26">
        <f t="shared" si="4"/>
        <v>149.02380952380952</v>
      </c>
      <c r="AB19" s="26">
        <f t="shared" si="4"/>
        <v>149.6067415730337</v>
      </c>
      <c r="AC19" s="26">
        <f t="shared" si="4"/>
        <v>149.76190476190473</v>
      </c>
      <c r="AD19" s="26">
        <f t="shared" si="4"/>
        <v>148.72151898734177</v>
      </c>
      <c r="AE19" s="26">
        <f t="shared" si="4"/>
        <v>149.99999999999997</v>
      </c>
      <c r="AF19" s="26">
        <f t="shared" si="4"/>
        <v>148.92753623188406</v>
      </c>
    </row>
    <row r="20" spans="2:32" ht="16.5" x14ac:dyDescent="0.3">
      <c r="B20" s="29"/>
      <c r="C20" s="19" t="s">
        <v>50</v>
      </c>
      <c r="D20" s="15" t="s">
        <v>51</v>
      </c>
      <c r="E20" s="16"/>
      <c r="F20" s="16">
        <f>AVERAGE(G20:R20)</f>
        <v>1177.25</v>
      </c>
      <c r="G20" s="16">
        <f>SUM(Caravel:Acari!G22:G22)+SUM(Atico:Yauca!G22:G22)+SUM(Jaqui:Atiquipa!G22:G22)+SUM(Chala:Chaparra!G22:G22)+SUM(Huanuhuanu:Quicacha!G22:G22)+SUM(BellaUnion:Cahuacho!G22:G22)</f>
        <v>1293</v>
      </c>
      <c r="H20" s="16">
        <f>SUM(Caravel:Acari!H22:H22)+SUM(Atico:Yauca!H22:H22)+SUM(Jaqui:Atiquipa!H22:H22)+SUM(Chala:Chaparra!H22:H22)+SUM(Huanuhuanu:Quicacha!H22:H22)+SUM(BellaUnion:Cahuacho!H22:H22)</f>
        <v>1280</v>
      </c>
      <c r="I20" s="16">
        <f>SUM(Caravel:Acari!I22:I22)+SUM(Atico:Yauca!I22:I22)+SUM(Jaqui:Atiquipa!I22:I22)+SUM(Chala:Chaparra!I22:I22)+SUM(Huanuhuanu:Quicacha!I22:I22)+SUM(BellaUnion:Cahuacho!I22:I22)</f>
        <v>1219</v>
      </c>
      <c r="J20" s="16">
        <f>SUM(Caravel:Acari!J22:J22)+SUM(Atico:Yauca!J22:J22)+SUM(Jaqui:Atiquipa!J22:J22)+SUM(Chala:Chaparra!J22:J22)+SUM(Huanuhuanu:Quicacha!J22:J22)+SUM(BellaUnion:Cahuacho!J22:J22)</f>
        <v>1195</v>
      </c>
      <c r="K20" s="16">
        <f>SUM(Caravel:Acari!K22:K22)+SUM(Atico:Yauca!K22:K22)+SUM(Jaqui:Atiquipa!K22:K22)+SUM(Chala:Chaparra!K22:K22)+SUM(Huanuhuanu:Quicacha!K22:K22)+SUM(BellaUnion:Cahuacho!K22:K22)</f>
        <v>1196</v>
      </c>
      <c r="L20" s="16">
        <f>SUM(Caravel:Acari!L22:L22)+SUM(Atico:Yauca!L22:L22)+SUM(Jaqui:Atiquipa!L22:L22)+SUM(Chala:Chaparra!L22:L22)+SUM(Huanuhuanu:Quicacha!L22:L22)+SUM(BellaUnion:Cahuacho!L22:L22)</f>
        <v>1186</v>
      </c>
      <c r="M20" s="16">
        <f>SUM(Caravel:Acari!M22:M22)+SUM(Atico:Yauca!M22:M22)+SUM(Jaqui:Atiquipa!M22:M22)+SUM(Chala:Chaparra!M22:M22)+SUM(Huanuhuanu:Quicacha!M22:M22)+SUM(BellaUnion:Cahuacho!M22:M22)</f>
        <v>1177</v>
      </c>
      <c r="N20" s="16">
        <f>SUM(Caravel:Acari!N22:N22)+SUM(Atico:Yauca!N22:N22)+SUM(Jaqui:Atiquipa!N22:N22)+SUM(Chala:Chaparra!N22:N22)+SUM(Huanuhuanu:Quicacha!N22:N22)+SUM(BellaUnion:Cahuacho!N22:N22)</f>
        <v>1161</v>
      </c>
      <c r="O20" s="16">
        <f>SUM(Caravel:Acari!O22:O22)+SUM(Atico:Yauca!O22:O22)+SUM(Jaqui:Atiquipa!O22:O22)+SUM(Chala:Chaparra!O22:O22)+SUM(Huanuhuanu:Quicacha!O22:O22)+SUM(BellaUnion:Cahuacho!O22:O22)</f>
        <v>1141</v>
      </c>
      <c r="P20" s="16">
        <f>SUM(Caravel:Acari!P22:P22)+SUM(Atico:Yauca!P22:P22)+SUM(Jaqui:Atiquipa!P22:P22)+SUM(Chala:Chaparra!P22:P22)+SUM(Huanuhuanu:Quicacha!P22:P22)+SUM(BellaUnion:Cahuacho!P22:P22)</f>
        <v>1124</v>
      </c>
      <c r="Q20" s="16">
        <f>SUM(Caravel:Acari!Q22:Q22)+SUM(Atico:Yauca!Q22:Q22)+SUM(Jaqui:Atiquipa!Q22:Q22)+SUM(Chala:Chaparra!Q22:Q22)+SUM(Huanuhuanu:Quicacha!Q22:Q22)+SUM(BellaUnion:Cahuacho!Q22:Q22)</f>
        <v>1087</v>
      </c>
      <c r="R20" s="16">
        <f>SUM(Caravel:Acari!R22:R22)+SUM(Atico:Yauca!R22:R22)+SUM(Jaqui:Atiquipa!R22:R22)+SUM(Chala:Chaparra!R22:R22)+SUM(Huanuhuanu:Quicacha!R22:R22)+SUM(BellaUnion:Cahuacho!R22:R22)</f>
        <v>1068</v>
      </c>
      <c r="S20" s="141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2:32" ht="16.5" x14ac:dyDescent="0.3">
      <c r="B21" s="12"/>
      <c r="C21" s="13"/>
      <c r="D21" s="15" t="s">
        <v>41</v>
      </c>
      <c r="E21" s="16"/>
      <c r="F21" s="114">
        <f t="shared" si="2"/>
        <v>3279.1075999999998</v>
      </c>
      <c r="G21" s="114">
        <f>SUM(Caravel:Acari!G23:G23)+SUM(Atico:Yauca!G23:G23)+SUM(Jaqui:Atiquipa!G23:G23)+SUM(Chala:Chaparra!G23:G23)+SUM(Huanuhuanu:Quicacha!G23:G23)+SUM(BellaUnion:Cahuacho!G23:G23)</f>
        <v>315.06847000000005</v>
      </c>
      <c r="H21" s="114">
        <f>SUM(Caravel:Acari!H23:H23)+SUM(Atico:Yauca!H23:H23)+SUM(Jaqui:Atiquipa!H23:H23)+SUM(Chala:Chaparra!H23:H23)+SUM(Huanuhuanu:Quicacha!H23:H23)+SUM(BellaUnion:Cahuacho!H23:H23)</f>
        <v>269.27659999999997</v>
      </c>
      <c r="I21" s="114">
        <f>SUM(Caravel:Acari!I23:I23)+SUM(Atico:Yauca!I23:I23)+SUM(Jaqui:Atiquipa!I23:I23)+SUM(Chala:Chaparra!I23:I23)+SUM(Huanuhuanu:Quicacha!I23:I23)+SUM(BellaUnion:Cahuacho!I23:I23)</f>
        <v>282.74759</v>
      </c>
      <c r="J21" s="114">
        <f>SUM(Caravel:Acari!J23:J23)+SUM(Atico:Yauca!J23:J23)+SUM(Jaqui:Atiquipa!J23:J23)+SUM(Chala:Chaparra!J23:J23)+SUM(Huanuhuanu:Quicacha!J23:J23)+SUM(BellaUnion:Cahuacho!J23:J23)</f>
        <v>272.26168999999999</v>
      </c>
      <c r="K21" s="114">
        <f>SUM(Caravel:Acari!K23:K23)+SUM(Atico:Yauca!K23:K23)+SUM(Jaqui:Atiquipa!K23:K23)+SUM(Chala:Chaparra!K23:K23)+SUM(Huanuhuanu:Quicacha!K23:K23)+SUM(BellaUnion:Cahuacho!K23:K23)</f>
        <v>284.47056999999995</v>
      </c>
      <c r="L21" s="114">
        <f>SUM(Caravel:Acari!L23:L23)+SUM(Atico:Yauca!L23:L23)+SUM(Jaqui:Atiquipa!L23:L23)+SUM(Chala:Chaparra!L23:L23)+SUM(Huanuhuanu:Quicacha!L23:L23)+SUM(BellaUnion:Cahuacho!L23:L23)</f>
        <v>273.1728</v>
      </c>
      <c r="M21" s="114">
        <f>SUM(Caravel:Acari!M23:M23)+SUM(Atico:Yauca!M23:M23)+SUM(Jaqui:Atiquipa!M23:M23)+SUM(Chala:Chaparra!M23:M23)+SUM(Huanuhuanu:Quicacha!M23:M23)+SUM(BellaUnion:Cahuacho!M23:M23)</f>
        <v>279.65534000000002</v>
      </c>
      <c r="N21" s="114">
        <f>SUM(Caravel:Acari!N23:N23)+SUM(Atico:Yauca!N23:N23)+SUM(Jaqui:Atiquipa!N23:N23)+SUM(Chala:Chaparra!N23:N23)+SUM(Huanuhuanu:Quicacha!N23:N23)+SUM(BellaUnion:Cahuacho!N23:N23)</f>
        <v>276.15699000000001</v>
      </c>
      <c r="O21" s="114">
        <f>SUM(Caravel:Acari!O23:O23)+SUM(Atico:Yauca!O23:O23)+SUM(Jaqui:Atiquipa!O23:O23)+SUM(Chala:Chaparra!O23:O23)+SUM(Huanuhuanu:Quicacha!O23:O23)+SUM(BellaUnion:Cahuacho!O23:O23)</f>
        <v>262.42290000000003</v>
      </c>
      <c r="P21" s="114">
        <f>SUM(Caravel:Acari!P23:P23)+SUM(Atico:Yauca!P23:P23)+SUM(Jaqui:Atiquipa!P23:P23)+SUM(Chala:Chaparra!P23:P23)+SUM(Huanuhuanu:Quicacha!P23:P23)+SUM(BellaUnion:Cahuacho!P23:P23)</f>
        <v>265.20220999999998</v>
      </c>
      <c r="Q21" s="114">
        <f>SUM(Caravel:Acari!Q23:Q23)+SUM(Atico:Yauca!Q23:Q23)+SUM(Jaqui:Atiquipa!Q23:Q23)+SUM(Chala:Chaparra!Q23:Q23)+SUM(Huanuhuanu:Quicacha!Q23:Q23)+SUM(BellaUnion:Cahuacho!Q23:Q23)</f>
        <v>247.9494</v>
      </c>
      <c r="R21" s="114">
        <f>SUM(Caravel:Acari!R23:R23)+SUM(Atico:Yauca!R23:R23)+SUM(Jaqui:Atiquipa!R23:R23)+SUM(Chala:Chaparra!R23:R23)+SUM(Huanuhuanu:Quicacha!R23:R23)+SUM(BellaUnion:Cahuacho!R23:R23)</f>
        <v>250.72304000000003</v>
      </c>
      <c r="S21" s="32" t="s">
        <v>52</v>
      </c>
      <c r="T21" s="33">
        <f>(F21*1000/F20)/120</f>
        <v>23.211634458837686</v>
      </c>
      <c r="U21" s="26">
        <f>(G21*1000/G20)/31</f>
        <v>7.8604014170596015</v>
      </c>
      <c r="V21" s="26">
        <f>(H21*1000/H20)/28</f>
        <v>7.5132979910714273</v>
      </c>
      <c r="W21" s="26">
        <f t="shared" ref="W21:AF21" si="5">(I21*1000/I20)/31</f>
        <v>7.4822723543888436</v>
      </c>
      <c r="X21" s="26">
        <f>(J21*1000/J20)/30</f>
        <v>7.5944683403068343</v>
      </c>
      <c r="Y21" s="26">
        <f t="shared" si="5"/>
        <v>7.6726337792642125</v>
      </c>
      <c r="Z21" s="26">
        <f>(L21*1000/L20)/30</f>
        <v>7.6777065767284984</v>
      </c>
      <c r="AA21" s="26">
        <f t="shared" si="5"/>
        <v>7.6645199660152938</v>
      </c>
      <c r="AB21" s="26">
        <f t="shared" si="5"/>
        <v>7.6729457364341087</v>
      </c>
      <c r="AC21" s="26">
        <f>(O21*1000/O20)/30</f>
        <v>7.6664592462751981</v>
      </c>
      <c r="AD21" s="26">
        <f t="shared" si="5"/>
        <v>7.6111298932384326</v>
      </c>
      <c r="AE21" s="26">
        <f>(Q21*1000/Q20)/30</f>
        <v>7.6034774609015638</v>
      </c>
      <c r="AF21" s="26">
        <f t="shared" si="5"/>
        <v>7.5728838951310875</v>
      </c>
    </row>
    <row r="22" spans="2:32" ht="16.5" x14ac:dyDescent="0.3">
      <c r="B22" s="29"/>
      <c r="C22" s="15" t="s">
        <v>35</v>
      </c>
      <c r="D22" s="15" t="s">
        <v>36</v>
      </c>
      <c r="E22" s="16">
        <f>SUM(Caravel:Acari!E24:E24)+SUM(Atico:Yauca!E24:E24)+SUM(Jaqui:Atiquipa!E24:E24)+SUM(Chala:Chaparra!E24:E24)+SUM(Huanuhuanu:Quicacha!E24:E24)+SUM(BellaUnion:Cahuacho!E24:E24)</f>
        <v>5155</v>
      </c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30"/>
      <c r="T22" s="33">
        <f>(F21*1000/F20)</f>
        <v>2785.3961350605223</v>
      </c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16.5" x14ac:dyDescent="0.3">
      <c r="B23" s="29"/>
      <c r="C23" s="19" t="s">
        <v>38</v>
      </c>
      <c r="D23" s="15" t="s">
        <v>48</v>
      </c>
      <c r="E23" s="16"/>
      <c r="F23" s="16">
        <f t="shared" si="2"/>
        <v>1700</v>
      </c>
      <c r="G23" s="16">
        <f>SUM(Caravel:Acari!G25:G25)+SUM(Atico:Yauca!G25:G25)+SUM(Jaqui:Atiquipa!G25:G25)+SUM(Chala:Chaparra!G25:G25)+SUM(Huanuhuanu:Quicacha!G25:G25)+SUM(BellaUnion:Cahuacho!G25:G25)</f>
        <v>134</v>
      </c>
      <c r="H23" s="16">
        <f>SUM(Caravel:Acari!H25:H25)+SUM(Atico:Yauca!H25:H25)+SUM(Jaqui:Atiquipa!H25:H25)+SUM(Chala:Chaparra!H25:H25)+SUM(Huanuhuanu:Quicacha!H25:H25)+SUM(BellaUnion:Cahuacho!H25:H25)</f>
        <v>120</v>
      </c>
      <c r="I23" s="16">
        <f>SUM(Caravel:Acari!I25:I25)+SUM(Atico:Yauca!I25:I25)+SUM(Jaqui:Atiquipa!I25:I25)+SUM(Chala:Chaparra!I25:I25)+SUM(Huanuhuanu:Quicacha!I25:I25)+SUM(BellaUnion:Cahuacho!I25:I25)</f>
        <v>101</v>
      </c>
      <c r="J23" s="16">
        <f>SUM(Caravel:Acari!J25:J25)+SUM(Atico:Yauca!J25:J25)+SUM(Jaqui:Atiquipa!J25:J25)+SUM(Chala:Chaparra!J25:J25)+SUM(Huanuhuanu:Quicacha!J25:J25)+SUM(BellaUnion:Cahuacho!J25:J25)</f>
        <v>124</v>
      </c>
      <c r="K23" s="16">
        <f>SUM(Caravel:Acari!K25:K25)+SUM(Atico:Yauca!K25:K25)+SUM(Jaqui:Atiquipa!K25:K25)+SUM(Chala:Chaparra!K25:K25)+SUM(Huanuhuanu:Quicacha!K25:K25)+SUM(BellaUnion:Cahuacho!K25:K25)</f>
        <v>129</v>
      </c>
      <c r="L23" s="16">
        <f>SUM(Caravel:Acari!L25:L25)+SUM(Atico:Yauca!L25:L25)+SUM(Jaqui:Atiquipa!L25:L25)+SUM(Chala:Chaparra!L25:L25)+SUM(Huanuhuanu:Quicacha!L25:L25)+SUM(BellaUnion:Cahuacho!L25:L25)</f>
        <v>138</v>
      </c>
      <c r="M23" s="16">
        <f>SUM(Caravel:Acari!M25:M25)+SUM(Atico:Yauca!M25:M25)+SUM(Jaqui:Atiquipa!M25:M25)+SUM(Chala:Chaparra!M25:M25)+SUM(Huanuhuanu:Quicacha!M25:M25)+SUM(BellaUnion:Cahuacho!M25:M25)</f>
        <v>155</v>
      </c>
      <c r="N23" s="16">
        <f>SUM(Caravel:Acari!N25:N25)+SUM(Atico:Yauca!N25:N25)+SUM(Jaqui:Atiquipa!N25:N25)+SUM(Chala:Chaparra!N25:N25)+SUM(Huanuhuanu:Quicacha!N25:N25)+SUM(BellaUnion:Cahuacho!N25:N25)</f>
        <v>158</v>
      </c>
      <c r="O23" s="16">
        <f>SUM(Caravel:Acari!O25:O25)+SUM(Atico:Yauca!O25:O25)+SUM(Jaqui:Atiquipa!O25:O25)+SUM(Chala:Chaparra!O25:O25)+SUM(Huanuhuanu:Quicacha!O25:O25)+SUM(BellaUnion:Cahuacho!O25:O25)</f>
        <v>168</v>
      </c>
      <c r="P23" s="16">
        <f>SUM(Caravel:Acari!P25:P25)+SUM(Atico:Yauca!P25:P25)+SUM(Jaqui:Atiquipa!P25:P25)+SUM(Chala:Chaparra!P25:P25)+SUM(Huanuhuanu:Quicacha!P25:P25)+SUM(BellaUnion:Cahuacho!P25:P25)</f>
        <v>154</v>
      </c>
      <c r="Q23" s="16">
        <f>SUM(Caravel:Acari!Q25:Q25)+SUM(Atico:Yauca!Q25:Q25)+SUM(Jaqui:Atiquipa!Q25:Q25)+SUM(Chala:Chaparra!Q25:Q25)+SUM(Huanuhuanu:Quicacha!Q25:Q25)+SUM(BellaUnion:Cahuacho!Q25:Q25)</f>
        <v>163</v>
      </c>
      <c r="R23" s="16">
        <f>SUM(Caravel:Acari!R25:R25)+SUM(Atico:Yauca!R25:R25)+SUM(Jaqui:Atiquipa!R25:R25)+SUM(Chala:Chaparra!R25:R25)+SUM(Huanuhuanu:Quicacha!R25:R25)+SUM(BellaUnion:Cahuacho!R25:R25)</f>
        <v>156</v>
      </c>
      <c r="S23" s="31"/>
      <c r="T23" s="21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 ht="16.5" x14ac:dyDescent="0.3">
      <c r="B24" s="14" t="s">
        <v>53</v>
      </c>
      <c r="C24" s="15" t="s">
        <v>40</v>
      </c>
      <c r="D24" s="15" t="s">
        <v>41</v>
      </c>
      <c r="E24" s="16"/>
      <c r="F24" s="114">
        <f t="shared" si="2"/>
        <v>26.213099999999994</v>
      </c>
      <c r="G24" s="114">
        <f>SUM(Caravel:Acari!G26:G26)+SUM(Atico:Yauca!G26:G26)+SUM(Jaqui:Atiquipa!G26:G26)+SUM(Chala:Chaparra!G26:G26)+SUM(Huanuhuanu:Quicacha!G26:G26)+SUM(BellaUnion:Cahuacho!G26:G26)</f>
        <v>2.0575999999999999</v>
      </c>
      <c r="H24" s="114">
        <f>SUM(Caravel:Acari!H26:H26)+SUM(Atico:Yauca!H26:H26)+SUM(Jaqui:Atiquipa!H26:H26)+SUM(Chala:Chaparra!H26:H26)+SUM(Huanuhuanu:Quicacha!H26:H26)+SUM(BellaUnion:Cahuacho!H26:H26)</f>
        <v>1.8079999999999998</v>
      </c>
      <c r="I24" s="114">
        <f>SUM(Caravel:Acari!I26:I26)+SUM(Atico:Yauca!I26:I26)+SUM(Jaqui:Atiquipa!I26:I26)+SUM(Chala:Chaparra!I26:I26)+SUM(Huanuhuanu:Quicacha!I26:I26)+SUM(BellaUnion:Cahuacho!I26:I26)</f>
        <v>1.5543</v>
      </c>
      <c r="J24" s="114">
        <f>SUM(Caravel:Acari!J26:J26)+SUM(Atico:Yauca!J26:J26)+SUM(Jaqui:Atiquipa!J26:J26)+SUM(Chala:Chaparra!J26:J26)+SUM(Huanuhuanu:Quicacha!J26:J26)+SUM(BellaUnion:Cahuacho!J26:J26)</f>
        <v>1.9374000000000002</v>
      </c>
      <c r="K24" s="114">
        <f>SUM(Caravel:Acari!K26:K26)+SUM(Atico:Yauca!K26:K26)+SUM(Jaqui:Atiquipa!K26:K26)+SUM(Chala:Chaparra!K26:K26)+SUM(Huanuhuanu:Quicacha!K26:K26)+SUM(BellaUnion:Cahuacho!K26:K26)</f>
        <v>2.0168999999999997</v>
      </c>
      <c r="L24" s="114">
        <f>SUM(Caravel:Acari!L26:L26)+SUM(Atico:Yauca!L26:L26)+SUM(Jaqui:Atiquipa!L26:L26)+SUM(Chala:Chaparra!L26:L26)+SUM(Huanuhuanu:Quicacha!L26:L26)+SUM(BellaUnion:Cahuacho!L26:L26)</f>
        <v>2.1449000000000003</v>
      </c>
      <c r="M24" s="114">
        <f>SUM(Caravel:Acari!M26:M26)+SUM(Atico:Yauca!M26:M26)+SUM(Jaqui:Atiquipa!M26:M26)+SUM(Chala:Chaparra!M26:M26)+SUM(Huanuhuanu:Quicacha!M26:M26)+SUM(BellaUnion:Cahuacho!M26:M26)</f>
        <v>2.3851</v>
      </c>
      <c r="N24" s="114">
        <f>SUM(Caravel:Acari!N26:N26)+SUM(Atico:Yauca!N26:N26)+SUM(Jaqui:Atiquipa!N26:N26)+SUM(Chala:Chaparra!N26:N26)+SUM(Huanuhuanu:Quicacha!N26:N26)+SUM(BellaUnion:Cahuacho!N26:N26)</f>
        <v>2.4302999999999999</v>
      </c>
      <c r="O24" s="114">
        <f>SUM(Caravel:Acari!O26:O26)+SUM(Atico:Yauca!O26:O26)+SUM(Jaqui:Atiquipa!O26:O26)+SUM(Chala:Chaparra!O26:O26)+SUM(Huanuhuanu:Quicacha!O26:O26)+SUM(BellaUnion:Cahuacho!O26:O26)</f>
        <v>2.6135999999999999</v>
      </c>
      <c r="P24" s="114">
        <f>SUM(Caravel:Acari!P26:P26)+SUM(Atico:Yauca!P26:P26)+SUM(Jaqui:Atiquipa!P26:P26)+SUM(Chala:Chaparra!P26:P26)+SUM(Huanuhuanu:Quicacha!P26:P26)+SUM(BellaUnion:Cahuacho!P26:P26)</f>
        <v>2.3756000000000004</v>
      </c>
      <c r="Q24" s="114">
        <f>SUM(Caravel:Acari!Q26:Q26)+SUM(Atico:Yauca!Q26:Q26)+SUM(Jaqui:Atiquipa!Q26:Q26)+SUM(Chala:Chaparra!Q26:Q26)+SUM(Huanuhuanu:Quicacha!Q26:Q26)+SUM(BellaUnion:Cahuacho!Q26:Q26)</f>
        <v>2.4939</v>
      </c>
      <c r="R24" s="114">
        <f>SUM(Caravel:Acari!R26:R26)+SUM(Atico:Yauca!R26:R26)+SUM(Jaqui:Atiquipa!R26:R26)+SUM(Chala:Chaparra!R26:R26)+SUM(Huanuhuanu:Quicacha!R26:R26)+SUM(BellaUnion:Cahuacho!R26:R26)</f>
        <v>2.3954999999999997</v>
      </c>
      <c r="S24" s="24" t="s">
        <v>42</v>
      </c>
      <c r="T24" s="25">
        <f>AVERAGE(U24:AE24)</f>
        <v>15.424121339898319</v>
      </c>
      <c r="U24" s="26">
        <f>G24*1000/G23</f>
        <v>15.355223880597014</v>
      </c>
      <c r="V24" s="26">
        <f t="shared" ref="V24:AF24" si="6">H24*1000/H23</f>
        <v>15.066666666666665</v>
      </c>
      <c r="W24" s="26">
        <f t="shared" si="6"/>
        <v>15.389108910891089</v>
      </c>
      <c r="X24" s="26">
        <f t="shared" si="6"/>
        <v>15.624193548387099</v>
      </c>
      <c r="Y24" s="26">
        <f t="shared" si="6"/>
        <v>15.63488372093023</v>
      </c>
      <c r="Z24" s="26">
        <f t="shared" si="6"/>
        <v>15.542753623188407</v>
      </c>
      <c r="AA24" s="26">
        <f t="shared" si="6"/>
        <v>15.38774193548387</v>
      </c>
      <c r="AB24" s="26">
        <f t="shared" si="6"/>
        <v>15.381645569620252</v>
      </c>
      <c r="AC24" s="26">
        <f t="shared" si="6"/>
        <v>15.557142857142857</v>
      </c>
      <c r="AD24" s="26">
        <f t="shared" si="6"/>
        <v>15.425974025974028</v>
      </c>
      <c r="AE24" s="26">
        <f t="shared" si="6"/>
        <v>15.3</v>
      </c>
      <c r="AF24" s="26">
        <f t="shared" si="6"/>
        <v>15.355769230769228</v>
      </c>
    </row>
    <row r="25" spans="2:32" ht="16.5" x14ac:dyDescent="0.3">
      <c r="B25" s="29"/>
      <c r="C25" s="19" t="s">
        <v>54</v>
      </c>
      <c r="D25" s="15" t="s">
        <v>55</v>
      </c>
      <c r="E25" s="16"/>
      <c r="F25" s="16">
        <f t="shared" si="2"/>
        <v>247</v>
      </c>
      <c r="G25" s="16">
        <f>SUM(Caravel:Acari!G27:G27)+SUM(Atico:Yauca!G27:G27)+SUM(Jaqui:Atiquipa!G27:G27)+SUM(Chala:Chaparra!G27:G27)+SUM(Huanuhuanu:Quicacha!G27:G27)+SUM(BellaUnion:Cahuacho!G27:G27)</f>
        <v>80</v>
      </c>
      <c r="H25" s="16">
        <f>SUM(Caravel:Acari!H27:H27)+SUM(Atico:Yauca!H27:H27)+SUM(Jaqui:Atiquipa!H27:H27)+SUM(Chala:Chaparra!H27:H27)+SUM(Huanuhuanu:Quicacha!H27:H27)+SUM(BellaUnion:Cahuacho!H27:H27)</f>
        <v>85</v>
      </c>
      <c r="I25" s="16">
        <f>SUM(Caravel:Acari!I27:I27)+SUM(Atico:Yauca!I27:I27)+SUM(Jaqui:Atiquipa!I27:I27)+SUM(Chala:Chaparra!I27:I27)+SUM(Huanuhuanu:Quicacha!I27:I27)+SUM(BellaUnion:Cahuacho!I27:I27)</f>
        <v>82</v>
      </c>
      <c r="J25" s="16">
        <f>SUM(Caravel:Acari!J27:J27)+SUM(Atico:Yauca!J27:J27)+SUM(Jaqui:Atiquipa!J27:J27)+SUM(Chala:Chaparra!J27:J27)+SUM(Huanuhuanu:Quicacha!J27:J27)+SUM(BellaUnion:Cahuacho!J27:J27)</f>
        <v>0</v>
      </c>
      <c r="K25" s="16">
        <f>SUM(Caravel:Acari!K27:K27)+SUM(Atico:Yauca!K27:K27)+SUM(Jaqui:Atiquipa!K27:K27)+SUM(Chala:Chaparra!K27:K27)+SUM(Huanuhuanu:Quicacha!K27:K27)+SUM(BellaUnion:Cahuacho!K27:K27)</f>
        <v>0</v>
      </c>
      <c r="L25" s="16">
        <f>SUM(Caravel:Acari!L27:L27)+SUM(Atico:Yauca!L27:L27)+SUM(Jaqui:Atiquipa!L27:L27)+SUM(Chala:Chaparra!L27:L27)+SUM(Huanuhuanu:Quicacha!L27:L27)+SUM(BellaUnion:Cahuacho!L27:L27)</f>
        <v>0</v>
      </c>
      <c r="M25" s="16">
        <f>SUM(Caravel:Acari!M27:M27)+SUM(Atico:Yauca!M27:M27)+SUM(Jaqui:Atiquipa!M27:M27)+SUM(Chala:Chaparra!M27:M27)+SUM(Huanuhuanu:Quicacha!M27:M27)+SUM(BellaUnion:Cahuacho!M27:M27)</f>
        <v>0</v>
      </c>
      <c r="N25" s="16">
        <f>SUM(Caravel:Acari!N27:N27)+SUM(Atico:Yauca!N27:N27)+SUM(Jaqui:Atiquipa!N27:N27)+SUM(Chala:Chaparra!N27:N27)+SUM(Huanuhuanu:Quicacha!N27:N27)+SUM(BellaUnion:Cahuacho!N27:N27)</f>
        <v>0</v>
      </c>
      <c r="O25" s="16">
        <f>SUM(Caravel:Acari!O27:O27)+SUM(Atico:Yauca!O27:O27)+SUM(Jaqui:Atiquipa!O27:O27)+SUM(Chala:Chaparra!O27:O27)+SUM(Huanuhuanu:Quicacha!O27:O27)+SUM(BellaUnion:Cahuacho!O27:O27)</f>
        <v>0</v>
      </c>
      <c r="P25" s="16">
        <f>SUM(Caravel:Acari!P27:P27)+SUM(Atico:Yauca!P27:P27)+SUM(Jaqui:Atiquipa!P27:P27)+SUM(Chala:Chaparra!P27:P27)+SUM(Huanuhuanu:Quicacha!P27:P27)+SUM(BellaUnion:Cahuacho!P27:P27)</f>
        <v>0</v>
      </c>
      <c r="Q25" s="16">
        <f>SUM(Caravel:Acari!Q27:Q27)+SUM(Atico:Yauca!Q27:Q27)+SUM(Jaqui:Atiquipa!Q27:Q27)+SUM(Chala:Chaparra!Q27:Q27)+SUM(Huanuhuanu:Quicacha!Q27:Q27)+SUM(BellaUnion:Cahuacho!Q27:Q27)</f>
        <v>0</v>
      </c>
      <c r="R25" s="16">
        <f>SUM(Caravel:Acari!R27:R27)+SUM(Atico:Yauca!R27:R27)+SUM(Jaqui:Atiquipa!R27:R27)+SUM(Chala:Chaparra!R27:R27)+SUM(Huanuhuanu:Quicacha!R27:R27)+SUM(BellaUnion:Cahuacho!R27:R27)</f>
        <v>0</v>
      </c>
      <c r="S25" s="31"/>
      <c r="T25" s="21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2:32" ht="16.5" x14ac:dyDescent="0.3">
      <c r="B26" s="12"/>
      <c r="C26" s="13"/>
      <c r="D26" s="15" t="s">
        <v>41</v>
      </c>
      <c r="E26" s="16"/>
      <c r="F26" s="115">
        <f t="shared" si="2"/>
        <v>0.31124000000000002</v>
      </c>
      <c r="G26" s="115">
        <f>SUM(Caravel:Acari!G28:G28)+SUM(Atico:Yauca!G28:G28)+SUM(Jaqui:Atiquipa!G28:G28)+SUM(Chala:Chaparra!G28:G28)+SUM(Huanuhuanu:Quicacha!G28:G28)+SUM(BellaUnion:Cahuacho!G28:G28)</f>
        <v>0.1</v>
      </c>
      <c r="H26" s="115">
        <f>SUM(Caravel:Acari!H28:H28)+SUM(Atico:Yauca!H28:H28)+SUM(Jaqui:Atiquipa!H28:H28)+SUM(Chala:Chaparra!H28:H28)+SUM(Huanuhuanu:Quicacha!H28:H28)+SUM(BellaUnion:Cahuacho!H28:H28)</f>
        <v>0.1071</v>
      </c>
      <c r="I26" s="115">
        <f>SUM(Caravel:Acari!I28:I28)+SUM(Atico:Yauca!I28:I28)+SUM(Jaqui:Atiquipa!I28:I28)+SUM(Chala:Chaparra!I28:I28)+SUM(Huanuhuanu:Quicacha!I28:I28)+SUM(BellaUnion:Cahuacho!I28:I28)</f>
        <v>0.10414000000000001</v>
      </c>
      <c r="J26" s="115">
        <f>SUM(Caravel:Acari!J28:J28)+SUM(Atico:Yauca!J28:J28)+SUM(Jaqui:Atiquipa!J28:J28)+SUM(Chala:Chaparra!J28:J28)+SUM(Huanuhuanu:Quicacha!J28:J28)+SUM(BellaUnion:Cahuacho!J28:J28)</f>
        <v>0</v>
      </c>
      <c r="K26" s="115">
        <f>SUM(Caravel:Acari!K28:K28)+SUM(Atico:Yauca!K28:K28)+SUM(Jaqui:Atiquipa!K28:K28)+SUM(Chala:Chaparra!K28:K28)+SUM(Huanuhuanu:Quicacha!K28:K28)+SUM(BellaUnion:Cahuacho!K28:K28)</f>
        <v>0</v>
      </c>
      <c r="L26" s="115">
        <f>SUM(Caravel:Acari!L28:L28)+SUM(Atico:Yauca!L28:L28)+SUM(Jaqui:Atiquipa!L28:L28)+SUM(Chala:Chaparra!L28:L28)+SUM(Huanuhuanu:Quicacha!L28:L28)+SUM(BellaUnion:Cahuacho!L28:L28)</f>
        <v>0</v>
      </c>
      <c r="M26" s="115">
        <f>SUM(Caravel:Acari!M28:M28)+SUM(Atico:Yauca!M28:M28)+SUM(Jaqui:Atiquipa!M28:M28)+SUM(Chala:Chaparra!M28:M28)+SUM(Huanuhuanu:Quicacha!M28:M28)+SUM(BellaUnion:Cahuacho!M28:M28)</f>
        <v>0</v>
      </c>
      <c r="N26" s="115">
        <f>SUM(Caravel:Acari!N28:N28)+SUM(Atico:Yauca!N28:N28)+SUM(Jaqui:Atiquipa!N28:N28)+SUM(Chala:Chaparra!N28:N28)+SUM(Huanuhuanu:Quicacha!N28:N28)+SUM(BellaUnion:Cahuacho!N28:N28)</f>
        <v>0</v>
      </c>
      <c r="O26" s="115">
        <f>SUM(Caravel:Acari!O28:O28)+SUM(Atico:Yauca!O28:O28)+SUM(Jaqui:Atiquipa!O28:O28)+SUM(Chala:Chaparra!O28:O28)+SUM(Huanuhuanu:Quicacha!O28:O28)+SUM(BellaUnion:Cahuacho!O28:O28)</f>
        <v>0</v>
      </c>
      <c r="P26" s="115">
        <f>SUM(Caravel:Acari!P28:P28)+SUM(Atico:Yauca!P28:P28)+SUM(Jaqui:Atiquipa!P28:P28)+SUM(Chala:Chaparra!P28:P28)+SUM(Huanuhuanu:Quicacha!P28:P28)+SUM(BellaUnion:Cahuacho!P28:P28)</f>
        <v>0</v>
      </c>
      <c r="Q26" s="115">
        <f>SUM(Caravel:Acari!Q28:Q28)+SUM(Atico:Yauca!Q28:Q28)+SUM(Jaqui:Atiquipa!Q28:Q28)+SUM(Chala:Chaparra!Q28:Q28)+SUM(Huanuhuanu:Quicacha!Q28:Q28)+SUM(BellaUnion:Cahuacho!Q28:Q28)</f>
        <v>0</v>
      </c>
      <c r="R26" s="115">
        <f>SUM(Caravel:Acari!R28:R28)+SUM(Atico:Yauca!R28:R28)+SUM(Jaqui:Atiquipa!R28:R28)+SUM(Chala:Chaparra!R28:R28)+SUM(Huanuhuanu:Quicacha!R28:R28)+SUM(BellaUnion:Cahuacho!R28:R28)</f>
        <v>0</v>
      </c>
      <c r="S26" s="27" t="s">
        <v>56</v>
      </c>
      <c r="T26" s="33">
        <f>F26*1000/F25</f>
        <v>1.2600809716599191</v>
      </c>
      <c r="U26" s="26">
        <f>G26*1000/G25</f>
        <v>1.25</v>
      </c>
      <c r="V26" s="26">
        <f>H26*1000/H25</f>
        <v>1.26</v>
      </c>
      <c r="W26" s="26">
        <f>I26*1000/I25</f>
        <v>1.2700000000000002</v>
      </c>
      <c r="X26" s="26" t="e">
        <f>J26*1000/J25</f>
        <v>#DIV/0!</v>
      </c>
      <c r="Y26" s="26"/>
      <c r="Z26" s="26"/>
      <c r="AA26" s="26"/>
      <c r="AB26" s="26"/>
      <c r="AC26" s="26"/>
      <c r="AD26" s="26"/>
      <c r="AE26" s="26" t="e">
        <f>Q26*1000/Q25</f>
        <v>#DIV/0!</v>
      </c>
      <c r="AF26" s="26" t="e">
        <f>R26*1000/R25</f>
        <v>#DIV/0!</v>
      </c>
    </row>
    <row r="27" spans="2:32" ht="16.5" x14ac:dyDescent="0.3">
      <c r="B27" s="29"/>
      <c r="C27" s="15" t="s">
        <v>35</v>
      </c>
      <c r="D27" s="15" t="s">
        <v>36</v>
      </c>
      <c r="E27" s="16">
        <f>SUM(Caravel:Acari!E29:E29)+SUM(Atico:Yauca!E29:E29)+SUM(Jaqui:Atiquipa!E29:E29)+SUM(Chala:Chaparra!E29:E29)+SUM(Huanuhuanu:Quicacha!E29:E29)+SUM(BellaUnion:Cahuacho!E29:E29)</f>
        <v>4270</v>
      </c>
      <c r="F27" s="16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0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2:32" ht="16.5" x14ac:dyDescent="0.3">
      <c r="B28" s="14" t="s">
        <v>57</v>
      </c>
      <c r="C28" s="19" t="s">
        <v>38</v>
      </c>
      <c r="D28" s="15" t="s">
        <v>48</v>
      </c>
      <c r="E28" s="16"/>
      <c r="F28" s="16">
        <f t="shared" si="2"/>
        <v>1817</v>
      </c>
      <c r="G28" s="16">
        <f>SUM(Caravel:Acari!G30:G30)+SUM(Atico:Yauca!G30:G30)+SUM(Jaqui:Atiquipa!G30:G30)+SUM(Chala:Chaparra!G30:G30)+SUM(Huanuhuanu:Quicacha!G30:G30)+SUM(BellaUnion:Cahuacho!G30:G30)</f>
        <v>162</v>
      </c>
      <c r="H28" s="16">
        <f>SUM(Caravel:Acari!H30:H30)+SUM(Atico:Yauca!H30:H30)+SUM(Jaqui:Atiquipa!H30:H30)+SUM(Chala:Chaparra!H30:H30)+SUM(Huanuhuanu:Quicacha!H30:H30)+SUM(BellaUnion:Cahuacho!H30:H30)</f>
        <v>157</v>
      </c>
      <c r="I28" s="16">
        <f>SUM(Caravel:Acari!I30:I30)+SUM(Atico:Yauca!I30:I30)+SUM(Jaqui:Atiquipa!I30:I30)+SUM(Chala:Chaparra!I30:I30)+SUM(Huanuhuanu:Quicacha!I30:I30)+SUM(BellaUnion:Cahuacho!I30:I30)</f>
        <v>144</v>
      </c>
      <c r="J28" s="16">
        <f>SUM(Caravel:Acari!J30:J30)+SUM(Atico:Yauca!J30:J30)+SUM(Jaqui:Atiquipa!J30:J30)+SUM(Chala:Chaparra!J30:J30)+SUM(Huanuhuanu:Quicacha!J30:J30)+SUM(BellaUnion:Cahuacho!J30:J30)</f>
        <v>139</v>
      </c>
      <c r="K28" s="16">
        <f>SUM(Caravel:Acari!K30:K30)+SUM(Atico:Yauca!K30:K30)+SUM(Jaqui:Atiquipa!K30:K30)+SUM(Chala:Chaparra!K30:K30)+SUM(Huanuhuanu:Quicacha!K30:K30)+SUM(BellaUnion:Cahuacho!K30:K30)</f>
        <v>146</v>
      </c>
      <c r="L28" s="16">
        <f>SUM(Caravel:Acari!L30:L30)+SUM(Atico:Yauca!L30:L30)+SUM(Jaqui:Atiquipa!L30:L30)+SUM(Chala:Chaparra!L30:L30)+SUM(Huanuhuanu:Quicacha!L30:L30)+SUM(BellaUnion:Cahuacho!L30:L30)</f>
        <v>143</v>
      </c>
      <c r="M28" s="16">
        <f>SUM(Caravel:Acari!M30:M30)+SUM(Atico:Yauca!M30:M30)+SUM(Jaqui:Atiquipa!M30:M30)+SUM(Chala:Chaparra!M30:M30)+SUM(Huanuhuanu:Quicacha!M30:M30)+SUM(BellaUnion:Cahuacho!M30:M30)</f>
        <v>145</v>
      </c>
      <c r="N28" s="16">
        <f>SUM(Caravel:Acari!N30:N30)+SUM(Atico:Yauca!N30:N30)+SUM(Jaqui:Atiquipa!N30:N30)+SUM(Chala:Chaparra!N30:N30)+SUM(Huanuhuanu:Quicacha!N30:N30)+SUM(BellaUnion:Cahuacho!N30:N30)</f>
        <v>149</v>
      </c>
      <c r="O28" s="16">
        <f>SUM(Caravel:Acari!O30:O30)+SUM(Atico:Yauca!O30:O30)+SUM(Jaqui:Atiquipa!O30:O30)+SUM(Chala:Chaparra!O30:O30)+SUM(Huanuhuanu:Quicacha!O30:O30)+SUM(BellaUnion:Cahuacho!O30:O30)</f>
        <v>155</v>
      </c>
      <c r="P28" s="16">
        <f>SUM(Caravel:Acari!P30:P30)+SUM(Atico:Yauca!P30:P30)+SUM(Jaqui:Atiquipa!P30:P30)+SUM(Chala:Chaparra!P30:P30)+SUM(Huanuhuanu:Quicacha!P30:P30)+SUM(BellaUnion:Cahuacho!P30:P30)</f>
        <v>152</v>
      </c>
      <c r="Q28" s="16">
        <f>SUM(Caravel:Acari!Q30:Q30)+SUM(Atico:Yauca!Q30:Q30)+SUM(Jaqui:Atiquipa!Q30:Q30)+SUM(Chala:Chaparra!Q30:Q30)+SUM(Huanuhuanu:Quicacha!Q30:Q30)+SUM(BellaUnion:Cahuacho!Q30:Q30)</f>
        <v>157</v>
      </c>
      <c r="R28" s="16">
        <f>SUM(Caravel:Acari!R30:R30)+SUM(Atico:Yauca!R30:R30)+SUM(Jaqui:Atiquipa!R30:R30)+SUM(Chala:Chaparra!R30:R30)+SUM(Huanuhuanu:Quicacha!R30:R30)+SUM(BellaUnion:Cahuacho!R30:R30)</f>
        <v>168</v>
      </c>
      <c r="S28" s="31"/>
      <c r="T28" s="21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2:32" ht="16.5" x14ac:dyDescent="0.3">
      <c r="B29" s="12"/>
      <c r="C29" s="15" t="s">
        <v>40</v>
      </c>
      <c r="D29" s="15" t="s">
        <v>41</v>
      </c>
      <c r="E29" s="16"/>
      <c r="F29" s="114">
        <f t="shared" si="2"/>
        <v>102.22599999999998</v>
      </c>
      <c r="G29" s="114">
        <f>SUM(Caravel:Acari!G31:G31)+SUM(Atico:Yauca!G31:G31)+SUM(Jaqui:Atiquipa!G31:G31)+SUM(Chala:Chaparra!G31:G31)+SUM(Huanuhuanu:Quicacha!G31:G31)+SUM(BellaUnion:Cahuacho!G31:G31)</f>
        <v>9.1029999999999998</v>
      </c>
      <c r="H29" s="114">
        <f>SUM(Caravel:Acari!H31:H31)+SUM(Atico:Yauca!H31:H31)+SUM(Jaqui:Atiquipa!H31:H31)+SUM(Chala:Chaparra!H31:H31)+SUM(Huanuhuanu:Quicacha!H31:H31)+SUM(BellaUnion:Cahuacho!H31:H31)</f>
        <v>8.8740000000000006</v>
      </c>
      <c r="I29" s="114">
        <f>SUM(Caravel:Acari!I31:I31)+SUM(Atico:Yauca!I31:I31)+SUM(Jaqui:Atiquipa!I31:I31)+SUM(Chala:Chaparra!I31:I31)+SUM(Huanuhuanu:Quicacha!I31:I31)+SUM(BellaUnion:Cahuacho!I31:I31)</f>
        <v>8.1630000000000003</v>
      </c>
      <c r="J29" s="114">
        <f>SUM(Caravel:Acari!J31:J31)+SUM(Atico:Yauca!J31:J31)+SUM(Jaqui:Atiquipa!J31:J31)+SUM(Chala:Chaparra!J31:J31)+SUM(Huanuhuanu:Quicacha!J31:J31)+SUM(BellaUnion:Cahuacho!J31:J31)</f>
        <v>7.8530000000000006</v>
      </c>
      <c r="K29" s="114">
        <f>SUM(Caravel:Acari!K31:K31)+SUM(Atico:Yauca!K31:K31)+SUM(Jaqui:Atiquipa!K31:K31)+SUM(Chala:Chaparra!K31:K31)+SUM(Huanuhuanu:Quicacha!K31:K31)+SUM(BellaUnion:Cahuacho!K31:K31)</f>
        <v>8.25</v>
      </c>
      <c r="L29" s="114">
        <f>SUM(Caravel:Acari!L31:L31)+SUM(Atico:Yauca!L31:L31)+SUM(Jaqui:Atiquipa!L31:L31)+SUM(Chala:Chaparra!L31:L31)+SUM(Huanuhuanu:Quicacha!L31:L31)+SUM(BellaUnion:Cahuacho!L31:L31)</f>
        <v>8.0539999999999985</v>
      </c>
      <c r="M29" s="114">
        <f>SUM(Caravel:Acari!M31:M31)+SUM(Atico:Yauca!M31:M31)+SUM(Jaqui:Atiquipa!M31:M31)+SUM(Chala:Chaparra!M31:M31)+SUM(Huanuhuanu:Quicacha!M31:M31)+SUM(BellaUnion:Cahuacho!M31:M31)</f>
        <v>8.1229999999999993</v>
      </c>
      <c r="N29" s="114">
        <f>SUM(Caravel:Acari!N31:N31)+SUM(Atico:Yauca!N31:N31)+SUM(Jaqui:Atiquipa!N31:N31)+SUM(Chala:Chaparra!N31:N31)+SUM(Huanuhuanu:Quicacha!N31:N31)+SUM(BellaUnion:Cahuacho!N31:N31)</f>
        <v>8.33</v>
      </c>
      <c r="O29" s="114">
        <f>SUM(Caravel:Acari!O31:O31)+SUM(Atico:Yauca!O31:O31)+SUM(Jaqui:Atiquipa!O31:O31)+SUM(Chala:Chaparra!O31:O31)+SUM(Huanuhuanu:Quicacha!O31:O31)+SUM(BellaUnion:Cahuacho!O31:O31)</f>
        <v>8.6780000000000008</v>
      </c>
      <c r="P29" s="114">
        <f>SUM(Caravel:Acari!P31:P31)+SUM(Atico:Yauca!P31:P31)+SUM(Jaqui:Atiquipa!P31:P31)+SUM(Chala:Chaparra!P31:P31)+SUM(Huanuhuanu:Quicacha!P31:P31)+SUM(BellaUnion:Cahuacho!P31:P31)</f>
        <v>8.5289999999999999</v>
      </c>
      <c r="Q29" s="114">
        <f>SUM(Caravel:Acari!Q31:Q31)+SUM(Atico:Yauca!Q31:Q31)+SUM(Jaqui:Atiquipa!Q31:Q31)+SUM(Chala:Chaparra!Q31:Q31)+SUM(Huanuhuanu:Quicacha!Q31:Q31)+SUM(BellaUnion:Cahuacho!Q31:Q31)</f>
        <v>8.82</v>
      </c>
      <c r="R29" s="114">
        <f>SUM(Caravel:Acari!R31:R31)+SUM(Atico:Yauca!R31:R31)+SUM(Jaqui:Atiquipa!R31:R31)+SUM(Chala:Chaparra!R31:R31)+SUM(Huanuhuanu:Quicacha!R31:R31)+SUM(BellaUnion:Cahuacho!R31:R31)</f>
        <v>9.4490000000000016</v>
      </c>
      <c r="S29" s="24" t="s">
        <v>42</v>
      </c>
      <c r="T29" s="25">
        <f>AVERAGE(U29:AE29)</f>
        <v>56.266372207717879</v>
      </c>
      <c r="U29" s="26">
        <f>G29*1000/G28</f>
        <v>56.191358024691361</v>
      </c>
      <c r="V29" s="26">
        <f t="shared" ref="V29:AF29" si="7">H29*1000/H28</f>
        <v>56.522292993630572</v>
      </c>
      <c r="W29" s="26">
        <f t="shared" si="7"/>
        <v>56.6875</v>
      </c>
      <c r="X29" s="26">
        <f t="shared" si="7"/>
        <v>56.496402877697847</v>
      </c>
      <c r="Y29" s="26">
        <f t="shared" si="7"/>
        <v>56.506849315068493</v>
      </c>
      <c r="Z29" s="26">
        <f t="shared" si="7"/>
        <v>56.321678321678306</v>
      </c>
      <c r="AA29" s="26">
        <f t="shared" si="7"/>
        <v>56.020689655172404</v>
      </c>
      <c r="AB29" s="26">
        <f t="shared" si="7"/>
        <v>55.906040268456373</v>
      </c>
      <c r="AC29" s="26">
        <f t="shared" si="7"/>
        <v>55.987096774193546</v>
      </c>
      <c r="AD29" s="26">
        <f t="shared" si="7"/>
        <v>56.111842105263158</v>
      </c>
      <c r="AE29" s="26">
        <f t="shared" si="7"/>
        <v>56.178343949044589</v>
      </c>
      <c r="AF29" s="26">
        <f t="shared" si="7"/>
        <v>56.244047619047628</v>
      </c>
    </row>
    <row r="30" spans="2:32" ht="16.5" x14ac:dyDescent="0.3">
      <c r="B30" s="29"/>
      <c r="C30" s="15" t="s">
        <v>35</v>
      </c>
      <c r="D30" s="15" t="s">
        <v>36</v>
      </c>
      <c r="E30" s="16">
        <f>SUM(Caravel:Acari!E32:E32)+SUM(Atico:Yauca!E32:E32)+SUM(Jaqui:Atiquipa!E32:E32)+SUM(Chala:Chaparra!E32:E32)+SUM(Huanuhuanu:Quicacha!E32:E32)+SUM(BellaUnion:Cahuacho!E32:E32)</f>
        <v>18465</v>
      </c>
      <c r="F30" s="16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30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2:32" ht="16.5" x14ac:dyDescent="0.3">
      <c r="B31" s="14" t="s">
        <v>58</v>
      </c>
      <c r="C31" s="19" t="s">
        <v>38</v>
      </c>
      <c r="D31" s="15" t="s">
        <v>48</v>
      </c>
      <c r="E31" s="16"/>
      <c r="F31" s="16">
        <f>SUM(G31:R31)</f>
        <v>4906</v>
      </c>
      <c r="G31" s="16">
        <f>SUM(Caravel:Acari!G33:G33)+SUM(Atico:Yauca!G33:G33)+SUM(Jaqui:Atiquipa!G33:G33)+SUM(Chala:Chaparra!G33:G33)+SUM(Huanuhuanu:Quicacha!G33:G33)+SUM(BellaUnion:Cahuacho!G33:G33)</f>
        <v>390</v>
      </c>
      <c r="H31" s="16">
        <f>SUM(Caravel:Acari!H33:H33)+SUM(Atico:Yauca!H33:H33)+SUM(Jaqui:Atiquipa!H33:H33)+SUM(Chala:Chaparra!H33:H33)+SUM(Huanuhuanu:Quicacha!H33:H33)+SUM(BellaUnion:Cahuacho!H33:H33)</f>
        <v>400</v>
      </c>
      <c r="I31" s="16">
        <f>SUM(Caravel:Acari!I33:I33)+SUM(Atico:Yauca!I33:I33)+SUM(Jaqui:Atiquipa!I33:I33)+SUM(Chala:Chaparra!I33:I33)+SUM(Huanuhuanu:Quicacha!I33:I33)+SUM(BellaUnion:Cahuacho!I33:I33)</f>
        <v>368</v>
      </c>
      <c r="J31" s="16">
        <f>SUM(Caravel:Acari!J33:J33)+SUM(Atico:Yauca!J33:J33)+SUM(Jaqui:Atiquipa!J33:J33)+SUM(Chala:Chaparra!J33:J33)+SUM(Huanuhuanu:Quicacha!J33:J33)+SUM(BellaUnion:Cahuacho!J33:J33)</f>
        <v>399</v>
      </c>
      <c r="K31" s="16">
        <f>SUM(Caravel:Acari!K33:K33)+SUM(Atico:Yauca!K33:K33)+SUM(Jaqui:Atiquipa!K33:K33)+SUM(Chala:Chaparra!K33:K33)+SUM(Huanuhuanu:Quicacha!K33:K33)+SUM(BellaUnion:Cahuacho!K33:K33)</f>
        <v>409</v>
      </c>
      <c r="L31" s="16">
        <f>SUM(Caravel:Acari!L33:L33)+SUM(Atico:Yauca!L33:L33)+SUM(Jaqui:Atiquipa!L33:L33)+SUM(Chala:Chaparra!L33:L33)+SUM(Huanuhuanu:Quicacha!L33:L33)+SUM(BellaUnion:Cahuacho!L33:L33)</f>
        <v>430</v>
      </c>
      <c r="M31" s="16">
        <f>SUM(Caravel:Acari!M33:M33)+SUM(Atico:Yauca!M33:M33)+SUM(Jaqui:Atiquipa!M33:M33)+SUM(Chala:Chaparra!M33:M33)+SUM(Huanuhuanu:Quicacha!M33:M33)+SUM(BellaUnion:Cahuacho!M33:M33)</f>
        <v>431</v>
      </c>
      <c r="N31" s="16">
        <f>SUM(Caravel:Acari!N33:N33)+SUM(Atico:Yauca!N33:N33)+SUM(Jaqui:Atiquipa!N33:N33)+SUM(Chala:Chaparra!N33:N33)+SUM(Huanuhuanu:Quicacha!N33:N33)+SUM(BellaUnion:Cahuacho!N33:N33)</f>
        <v>429</v>
      </c>
      <c r="O31" s="16">
        <f>SUM(Caravel:Acari!O33:O33)+SUM(Atico:Yauca!O33:O33)+SUM(Jaqui:Atiquipa!O33:O33)+SUM(Chala:Chaparra!O33:O33)+SUM(Huanuhuanu:Quicacha!O33:O33)+SUM(BellaUnion:Cahuacho!O33:O33)</f>
        <v>439</v>
      </c>
      <c r="P31" s="16">
        <f>SUM(Caravel:Acari!P33:P33)+SUM(Atico:Yauca!P33:P33)+SUM(Jaqui:Atiquipa!P33:P33)+SUM(Chala:Chaparra!P33:P33)+SUM(Huanuhuanu:Quicacha!P33:P33)+SUM(BellaUnion:Cahuacho!P33:P33)</f>
        <v>420</v>
      </c>
      <c r="Q31" s="16">
        <f>SUM(Caravel:Acari!Q33:Q33)+SUM(Atico:Yauca!Q33:Q33)+SUM(Jaqui:Atiquipa!Q33:Q33)+SUM(Chala:Chaparra!Q33:Q33)+SUM(Huanuhuanu:Quicacha!Q33:Q33)+SUM(BellaUnion:Cahuacho!Q33:Q33)</f>
        <v>393</v>
      </c>
      <c r="R31" s="16">
        <f>SUM(Caravel:Acari!R33:R33)+SUM(Atico:Yauca!R33:R33)+SUM(Jaqui:Atiquipa!R33:R33)+SUM(Chala:Chaparra!R33:R33)+SUM(Huanuhuanu:Quicacha!R33:R33)+SUM(BellaUnion:Cahuacho!R33:R33)</f>
        <v>398</v>
      </c>
      <c r="S31" s="31"/>
      <c r="T31" s="21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2:32" ht="16.5" x14ac:dyDescent="0.3">
      <c r="B32" s="12"/>
      <c r="C32" s="15" t="s">
        <v>40</v>
      </c>
      <c r="D32" s="15" t="s">
        <v>41</v>
      </c>
      <c r="E32" s="16"/>
      <c r="F32" s="114">
        <f>SUM(G32:R32)</f>
        <v>56.844200000000001</v>
      </c>
      <c r="G32" s="114">
        <f>SUM(Caravel:Acari!G34:G34)+SUM(Atico:Yauca!G34:G34)+SUM(Jaqui:Atiquipa!G34:G34)+SUM(Chala:Chaparra!G34:G34)+SUM(Huanuhuanu:Quicacha!G34:G34)+SUM(BellaUnion:Cahuacho!G34:G34)</f>
        <v>4.4386000000000001</v>
      </c>
      <c r="H32" s="114">
        <f>SUM(Caravel:Acari!H34:H34)+SUM(Atico:Yauca!H34:H34)+SUM(Jaqui:Atiquipa!H34:H34)+SUM(Chala:Chaparra!H34:H34)+SUM(Huanuhuanu:Quicacha!H34:H34)+SUM(BellaUnion:Cahuacho!H34:H34)</f>
        <v>4.5532000000000004</v>
      </c>
      <c r="I32" s="114">
        <f>SUM(Caravel:Acari!I34:I34)+SUM(Atico:Yauca!I34:I34)+SUM(Jaqui:Atiquipa!I34:I34)+SUM(Chala:Chaparra!I34:I34)+SUM(Huanuhuanu:Quicacha!I34:I34)+SUM(BellaUnion:Cahuacho!I34:I34)</f>
        <v>4.2749000000000006</v>
      </c>
      <c r="J32" s="114">
        <f>SUM(Caravel:Acari!J34:J34)+SUM(Atico:Yauca!J34:J34)+SUM(Jaqui:Atiquipa!J34:J34)+SUM(Chala:Chaparra!J34:J34)+SUM(Huanuhuanu:Quicacha!J34:J34)+SUM(BellaUnion:Cahuacho!J34:J34)</f>
        <v>4.7803000000000004</v>
      </c>
      <c r="K32" s="114">
        <f>SUM(Caravel:Acari!K34:K34)+SUM(Atico:Yauca!K34:K34)+SUM(Jaqui:Atiquipa!K34:K34)+SUM(Chala:Chaparra!K34:K34)+SUM(Huanuhuanu:Quicacha!K34:K34)+SUM(BellaUnion:Cahuacho!K34:K34)</f>
        <v>4.8559000000000001</v>
      </c>
      <c r="L32" s="114">
        <f>SUM(Caravel:Acari!L34:L34)+SUM(Atico:Yauca!L34:L34)+SUM(Jaqui:Atiquipa!L34:L34)+SUM(Chala:Chaparra!L34:L34)+SUM(Huanuhuanu:Quicacha!L34:L34)+SUM(BellaUnion:Cahuacho!L34:L34)</f>
        <v>5.0444000000000004</v>
      </c>
      <c r="M32" s="114">
        <f>SUM(Caravel:Acari!M34:M34)+SUM(Atico:Yauca!M34:M34)+SUM(Jaqui:Atiquipa!M34:M34)+SUM(Chala:Chaparra!M34:M34)+SUM(Huanuhuanu:Quicacha!M34:M34)+SUM(BellaUnion:Cahuacho!M34:M34)</f>
        <v>5.0231999999999992</v>
      </c>
      <c r="N32" s="114">
        <f>SUM(Caravel:Acari!N34:N34)+SUM(Atico:Yauca!N34:N34)+SUM(Jaqui:Atiquipa!N34:N34)+SUM(Chala:Chaparra!N34:N34)+SUM(Huanuhuanu:Quicacha!N34:N34)+SUM(BellaUnion:Cahuacho!N34:N34)</f>
        <v>4.9589999999999996</v>
      </c>
      <c r="O32" s="114">
        <f>SUM(Caravel:Acari!O34:O34)+SUM(Atico:Yauca!O34:O34)+SUM(Jaqui:Atiquipa!O34:O34)+SUM(Chala:Chaparra!O34:O34)+SUM(Huanuhuanu:Quicacha!O34:O34)+SUM(BellaUnion:Cahuacho!O34:O34)</f>
        <v>5.0673999999999992</v>
      </c>
      <c r="P32" s="114">
        <f>SUM(Caravel:Acari!P34:P34)+SUM(Atico:Yauca!P34:P34)+SUM(Jaqui:Atiquipa!P34:P34)+SUM(Chala:Chaparra!P34:P34)+SUM(Huanuhuanu:Quicacha!P34:P34)+SUM(BellaUnion:Cahuacho!P34:P34)</f>
        <v>4.8391999999999999</v>
      </c>
      <c r="Q32" s="114">
        <f>SUM(Caravel:Acari!Q34:Q34)+SUM(Atico:Yauca!Q34:Q34)+SUM(Jaqui:Atiquipa!Q34:Q34)+SUM(Chala:Chaparra!Q34:Q34)+SUM(Huanuhuanu:Quicacha!Q34:Q34)+SUM(BellaUnion:Cahuacho!Q34:Q34)</f>
        <v>4.4706999999999999</v>
      </c>
      <c r="R32" s="114">
        <f>SUM(Caravel:Acari!R34:R34)+SUM(Atico:Yauca!R34:R34)+SUM(Jaqui:Atiquipa!R34:R34)+SUM(Chala:Chaparra!R34:R34)+SUM(Huanuhuanu:Quicacha!R34:R34)+SUM(BellaUnion:Cahuacho!R34:R34)</f>
        <v>4.5373999999999999</v>
      </c>
      <c r="S32" s="24" t="s">
        <v>42</v>
      </c>
      <c r="T32" s="25">
        <f>AVERAGE(U32:AE32)</f>
        <v>11.601823952331873</v>
      </c>
      <c r="U32" s="26">
        <f>G32*1000/G31</f>
        <v>11.381025641025643</v>
      </c>
      <c r="V32" s="26">
        <f t="shared" ref="V32:AF32" si="8">H32*1000/H31</f>
        <v>11.383000000000003</v>
      </c>
      <c r="W32" s="26">
        <f t="shared" si="8"/>
        <v>11.616576086956524</v>
      </c>
      <c r="X32" s="26">
        <f t="shared" si="8"/>
        <v>11.980701754385965</v>
      </c>
      <c r="Y32" s="26">
        <f t="shared" si="8"/>
        <v>11.872616136919317</v>
      </c>
      <c r="Z32" s="26">
        <f t="shared" si="8"/>
        <v>11.731162790697676</v>
      </c>
      <c r="AA32" s="26">
        <f t="shared" si="8"/>
        <v>11.654756380510438</v>
      </c>
      <c r="AB32" s="26">
        <f t="shared" si="8"/>
        <v>11.55944055944056</v>
      </c>
      <c r="AC32" s="26">
        <f t="shared" si="8"/>
        <v>11.543052391799543</v>
      </c>
      <c r="AD32" s="26">
        <f t="shared" si="8"/>
        <v>11.521904761904761</v>
      </c>
      <c r="AE32" s="26">
        <f t="shared" si="8"/>
        <v>11.375826972010177</v>
      </c>
      <c r="AF32" s="26">
        <f t="shared" si="8"/>
        <v>11.400502512562813</v>
      </c>
    </row>
    <row r="33" spans="2:32" ht="16.5" x14ac:dyDescent="0.3">
      <c r="B33" s="29"/>
      <c r="C33" s="15" t="s">
        <v>35</v>
      </c>
      <c r="D33" s="15" t="s">
        <v>36</v>
      </c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30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2:32" ht="16.5" x14ac:dyDescent="0.3">
      <c r="B34" s="29"/>
      <c r="C34" s="19" t="s">
        <v>38</v>
      </c>
      <c r="D34" s="15" t="s">
        <v>48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31"/>
      <c r="T34" s="21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2:32" ht="16.5" x14ac:dyDescent="0.3">
      <c r="B35" s="14" t="s">
        <v>59</v>
      </c>
      <c r="C35" s="15" t="s">
        <v>40</v>
      </c>
      <c r="D35" s="15" t="s">
        <v>41</v>
      </c>
      <c r="E35" s="16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 t="s">
        <v>42</v>
      </c>
      <c r="T35" s="25" t="e">
        <f>AVERAGE(U35:AE35)</f>
        <v>#DIV/0!</v>
      </c>
      <c r="U35" s="26" t="e">
        <f>G35*1000/G34</f>
        <v>#DIV/0!</v>
      </c>
      <c r="V35" s="26" t="e">
        <f t="shared" ref="V35:AF35" si="9">H35*1000/H34</f>
        <v>#DIV/0!</v>
      </c>
      <c r="W35" s="26" t="e">
        <f t="shared" si="9"/>
        <v>#DIV/0!</v>
      </c>
      <c r="X35" s="26" t="e">
        <f t="shared" si="9"/>
        <v>#DIV/0!</v>
      </c>
      <c r="Y35" s="26" t="e">
        <f t="shared" si="9"/>
        <v>#DIV/0!</v>
      </c>
      <c r="Z35" s="26" t="e">
        <f t="shared" si="9"/>
        <v>#DIV/0!</v>
      </c>
      <c r="AA35" s="26" t="e">
        <f t="shared" si="9"/>
        <v>#DIV/0!</v>
      </c>
      <c r="AB35" s="26" t="e">
        <f t="shared" si="9"/>
        <v>#DIV/0!</v>
      </c>
      <c r="AC35" s="26" t="e">
        <f t="shared" si="9"/>
        <v>#DIV/0!</v>
      </c>
      <c r="AD35" s="26" t="e">
        <f t="shared" si="9"/>
        <v>#DIV/0!</v>
      </c>
      <c r="AE35" s="26" t="e">
        <f t="shared" si="9"/>
        <v>#DIV/0!</v>
      </c>
      <c r="AF35" s="26" t="e">
        <f t="shared" si="9"/>
        <v>#DIV/0!</v>
      </c>
    </row>
    <row r="36" spans="2:32" ht="16.5" x14ac:dyDescent="0.3">
      <c r="B36" s="29"/>
      <c r="C36" s="19" t="s">
        <v>60</v>
      </c>
      <c r="D36" s="15" t="s">
        <v>55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31"/>
      <c r="T36" s="21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2:32" ht="16.5" x14ac:dyDescent="0.3">
      <c r="B37" s="12"/>
      <c r="C37" s="13"/>
      <c r="D37" s="15" t="s">
        <v>41</v>
      </c>
      <c r="E37" s="1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7" t="s">
        <v>56</v>
      </c>
      <c r="T37" s="33" t="e">
        <f>F37*1000/F36</f>
        <v>#DIV/0!</v>
      </c>
      <c r="U37" s="26" t="e">
        <f>G37*1000/G36</f>
        <v>#DIV/0!</v>
      </c>
      <c r="V37" s="26" t="e">
        <f>H37*1000/H36</f>
        <v>#DIV/0!</v>
      </c>
      <c r="W37" s="26" t="e">
        <f>I37*1000/I36</f>
        <v>#DIV/0!</v>
      </c>
      <c r="X37" s="26" t="e">
        <f>J37*1000/J36</f>
        <v>#DIV/0!</v>
      </c>
      <c r="Y37" s="26"/>
      <c r="Z37" s="26"/>
      <c r="AA37" s="26"/>
      <c r="AB37" s="26"/>
      <c r="AC37" s="26"/>
      <c r="AD37" s="26" t="e">
        <f>P37*1000/P36</f>
        <v>#DIV/0!</v>
      </c>
      <c r="AE37" s="26" t="e">
        <f>Q37*1000/Q36</f>
        <v>#DIV/0!</v>
      </c>
      <c r="AF37" s="26" t="e">
        <f>R37*1000/R36</f>
        <v>#DIV/0!</v>
      </c>
    </row>
    <row r="38" spans="2:32" ht="16.5" x14ac:dyDescent="0.3">
      <c r="B38" s="29"/>
      <c r="C38" s="15" t="s">
        <v>35</v>
      </c>
      <c r="D38" s="15" t="s">
        <v>36</v>
      </c>
      <c r="E38" s="16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30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2:32" ht="16.5" x14ac:dyDescent="0.3">
      <c r="B39" s="29"/>
      <c r="C39" s="19" t="s">
        <v>38</v>
      </c>
      <c r="D39" s="15" t="s">
        <v>48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31"/>
      <c r="T39" s="21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2:32" ht="16.5" x14ac:dyDescent="0.3">
      <c r="B40" s="14" t="s">
        <v>61</v>
      </c>
      <c r="C40" s="15" t="s">
        <v>40</v>
      </c>
      <c r="D40" s="15" t="s">
        <v>41</v>
      </c>
      <c r="E40" s="16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4" t="s">
        <v>42</v>
      </c>
      <c r="T40" s="25" t="e">
        <f>AVERAGE(U40:AE40)</f>
        <v>#DIV/0!</v>
      </c>
      <c r="U40" s="26" t="e">
        <f t="shared" ref="U40:AF40" si="10">G40*1000/G39</f>
        <v>#DIV/0!</v>
      </c>
      <c r="V40" s="26" t="e">
        <f t="shared" si="10"/>
        <v>#DIV/0!</v>
      </c>
      <c r="W40" s="26" t="e">
        <f t="shared" si="10"/>
        <v>#DIV/0!</v>
      </c>
      <c r="X40" s="26" t="e">
        <f t="shared" si="10"/>
        <v>#DIV/0!</v>
      </c>
      <c r="Y40" s="26" t="e">
        <f t="shared" si="10"/>
        <v>#DIV/0!</v>
      </c>
      <c r="Z40" s="26" t="e">
        <f t="shared" si="10"/>
        <v>#DIV/0!</v>
      </c>
      <c r="AA40" s="26" t="e">
        <f t="shared" si="10"/>
        <v>#DIV/0!</v>
      </c>
      <c r="AB40" s="26" t="e">
        <f t="shared" si="10"/>
        <v>#DIV/0!</v>
      </c>
      <c r="AC40" s="26" t="e">
        <f t="shared" si="10"/>
        <v>#DIV/0!</v>
      </c>
      <c r="AD40" s="26" t="e">
        <f t="shared" si="10"/>
        <v>#DIV/0!</v>
      </c>
      <c r="AE40" s="26" t="e">
        <f t="shared" si="10"/>
        <v>#DIV/0!</v>
      </c>
      <c r="AF40" s="26" t="e">
        <f t="shared" si="10"/>
        <v>#DIV/0!</v>
      </c>
    </row>
    <row r="41" spans="2:32" ht="16.5" x14ac:dyDescent="0.3">
      <c r="B41" s="34"/>
      <c r="C41" s="19" t="s">
        <v>60</v>
      </c>
      <c r="D41" s="15" t="s">
        <v>55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31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2:32" ht="16.5" x14ac:dyDescent="0.3">
      <c r="B42" s="35"/>
      <c r="C42" s="36"/>
      <c r="D42" s="15" t="s">
        <v>41</v>
      </c>
      <c r="E42" s="16"/>
      <c r="F42" s="37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7" t="s">
        <v>56</v>
      </c>
      <c r="T42" s="33" t="e">
        <f>F42*1000/F41</f>
        <v>#DIV/0!</v>
      </c>
      <c r="U42" s="26" t="e">
        <f>G42*1000/G41</f>
        <v>#DIV/0!</v>
      </c>
      <c r="V42" s="26" t="e">
        <f>H42*1000/H41</f>
        <v>#DIV/0!</v>
      </c>
      <c r="W42" s="26" t="e">
        <f>I42*1000/I41</f>
        <v>#DIV/0!</v>
      </c>
      <c r="X42" s="26" t="e">
        <f>J42*1000/J41</f>
        <v>#DIV/0!</v>
      </c>
      <c r="Y42" s="26"/>
      <c r="Z42" s="26"/>
      <c r="AA42" s="26"/>
      <c r="AB42" s="26"/>
      <c r="AC42" s="26"/>
      <c r="AD42" s="26"/>
      <c r="AE42" s="26" t="e">
        <f>Q42*1000/Q41</f>
        <v>#DIV/0!</v>
      </c>
      <c r="AF42" s="26" t="e">
        <f>R42*1000/R41</f>
        <v>#DIV/0!</v>
      </c>
    </row>
    <row r="43" spans="2:32" ht="16.5" x14ac:dyDescent="0.3">
      <c r="B43" s="29"/>
      <c r="C43" s="15" t="s">
        <v>35</v>
      </c>
      <c r="D43" s="15" t="s">
        <v>36</v>
      </c>
      <c r="E43" s="16"/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30"/>
    </row>
    <row r="44" spans="2:32" ht="16.5" x14ac:dyDescent="0.3">
      <c r="B44" s="29"/>
      <c r="C44" s="19" t="s">
        <v>38</v>
      </c>
      <c r="D44" s="15" t="s">
        <v>48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31"/>
      <c r="T44" s="21"/>
    </row>
    <row r="45" spans="2:32" ht="16.5" x14ac:dyDescent="0.3">
      <c r="B45" s="14" t="s">
        <v>62</v>
      </c>
      <c r="C45" s="15" t="s">
        <v>40</v>
      </c>
      <c r="D45" s="15" t="s">
        <v>41</v>
      </c>
      <c r="E45" s="16"/>
      <c r="F45" s="1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1"/>
      <c r="T45" s="38"/>
    </row>
    <row r="46" spans="2:32" ht="16.5" x14ac:dyDescent="0.3">
      <c r="B46" s="34"/>
      <c r="C46" s="19" t="s">
        <v>60</v>
      </c>
      <c r="D46" s="15" t="s">
        <v>55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31"/>
    </row>
    <row r="47" spans="2:32" ht="16.5" x14ac:dyDescent="0.3">
      <c r="B47" s="35"/>
      <c r="C47" s="36"/>
      <c r="D47" s="15" t="s">
        <v>41</v>
      </c>
      <c r="E47" s="16"/>
      <c r="F47" s="39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7" t="s">
        <v>56</v>
      </c>
      <c r="T47" s="40" t="e">
        <f>F47/F46</f>
        <v>#DIV/0!</v>
      </c>
      <c r="U47" s="26"/>
      <c r="V47" s="26"/>
      <c r="W47" s="26"/>
      <c r="X47" s="26"/>
      <c r="Y47" s="26" t="e">
        <f>K47/K46</f>
        <v>#DIV/0!</v>
      </c>
      <c r="Z47" s="26" t="e">
        <f t="shared" ref="Z47:AE47" si="11">L47/L46</f>
        <v>#DIV/0!</v>
      </c>
      <c r="AA47" s="26" t="e">
        <f t="shared" si="11"/>
        <v>#DIV/0!</v>
      </c>
      <c r="AB47" s="26" t="e">
        <f t="shared" si="11"/>
        <v>#DIV/0!</v>
      </c>
      <c r="AC47" s="26" t="e">
        <f t="shared" si="11"/>
        <v>#DIV/0!</v>
      </c>
      <c r="AD47" s="26" t="e">
        <f t="shared" si="11"/>
        <v>#DIV/0!</v>
      </c>
      <c r="AE47" s="26" t="e">
        <f t="shared" si="11"/>
        <v>#DIV/0!</v>
      </c>
      <c r="AF47" s="26"/>
    </row>
    <row r="48" spans="2:32" x14ac:dyDescent="0.2">
      <c r="C48" s="41" t="s">
        <v>63</v>
      </c>
      <c r="E48" s="21"/>
      <c r="F48" s="42"/>
      <c r="K48" s="2"/>
      <c r="O48" s="2"/>
      <c r="P48" s="41"/>
      <c r="Q48" s="2"/>
      <c r="S48" s="43"/>
    </row>
    <row r="49" spans="3:19" x14ac:dyDescent="0.2">
      <c r="C49" s="2" t="s">
        <v>64</v>
      </c>
      <c r="E49" s="44"/>
      <c r="F49" s="44"/>
      <c r="S49" s="43"/>
    </row>
    <row r="50" spans="3:19" x14ac:dyDescent="0.2">
      <c r="C50" s="2" t="s">
        <v>90</v>
      </c>
      <c r="E50" s="21"/>
      <c r="F50" s="21"/>
      <c r="S50" s="43"/>
    </row>
    <row r="51" spans="3:19" x14ac:dyDescent="0.2">
      <c r="S51" s="43"/>
    </row>
  </sheetData>
  <mergeCells count="5">
    <mergeCell ref="B5:S5"/>
    <mergeCell ref="B1:D1"/>
    <mergeCell ref="B2:D2"/>
    <mergeCell ref="B3:D3"/>
    <mergeCell ref="B4:S4"/>
  </mergeCells>
  <phoneticPr fontId="0" type="noConversion"/>
  <printOptions horizontalCentered="1"/>
  <pageMargins left="0.59027777777777779" right="0.78749999999999998" top="0.86597222222222225" bottom="0.47222222222222227" header="0.51180555555555562" footer="0.51180555555555562"/>
  <pageSetup paperSize="9" firstPageNumber="0" orientation="landscape" horizontalDpi="300" verticalDpi="300" r:id="rId1"/>
  <headerFooter alignWithMargins="0"/>
  <ignoredErrors>
    <ignoredError sqref="F15 F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82" zoomScaleNormal="82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F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4" customWidth="1"/>
    <col min="20" max="31" width="9.7109375" hidden="1" customWidth="1"/>
    <col min="32" max="32" width="0" hidden="1" customWidth="1"/>
  </cols>
  <sheetData>
    <row r="1" spans="1:31" x14ac:dyDescent="0.2">
      <c r="A1" s="144" t="s">
        <v>0</v>
      </c>
      <c r="B1" s="144"/>
      <c r="C1" s="144"/>
      <c r="D1" s="144"/>
      <c r="E1" s="1"/>
    </row>
    <row r="2" spans="1:31" x14ac:dyDescent="0.2">
      <c r="A2" s="144" t="s">
        <v>1</v>
      </c>
      <c r="B2" s="144"/>
      <c r="C2" s="144"/>
      <c r="D2" s="144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2025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420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454</v>
      </c>
      <c r="G15" s="66">
        <v>42</v>
      </c>
      <c r="H15" s="66">
        <v>40</v>
      </c>
      <c r="I15" s="66">
        <v>38</v>
      </c>
      <c r="J15" s="66">
        <v>33</v>
      </c>
      <c r="K15" s="66">
        <v>34</v>
      </c>
      <c r="L15" s="66">
        <v>31</v>
      </c>
      <c r="M15" s="66">
        <v>36</v>
      </c>
      <c r="N15" s="66">
        <v>41</v>
      </c>
      <c r="O15" s="66">
        <v>39</v>
      </c>
      <c r="P15" s="66">
        <v>40</v>
      </c>
      <c r="Q15" s="66">
        <v>41</v>
      </c>
      <c r="R15" s="66">
        <v>39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0.93779999999999986</v>
      </c>
      <c r="G16" s="87">
        <f t="shared" ref="G16:L16" si="0">G15*0.0021</f>
        <v>8.8200000000000001E-2</v>
      </c>
      <c r="H16" s="87">
        <f t="shared" si="0"/>
        <v>8.3999999999999991E-2</v>
      </c>
      <c r="I16" s="87">
        <f t="shared" si="0"/>
        <v>7.9799999999999996E-2</v>
      </c>
      <c r="J16" s="87">
        <f t="shared" si="0"/>
        <v>6.93E-2</v>
      </c>
      <c r="K16" s="87">
        <f t="shared" si="0"/>
        <v>7.1399999999999991E-2</v>
      </c>
      <c r="L16" s="87">
        <f t="shared" si="0"/>
        <v>6.5099999999999991E-2</v>
      </c>
      <c r="M16" s="87">
        <f>M15*0.002</f>
        <v>7.2000000000000008E-2</v>
      </c>
      <c r="N16" s="87">
        <f>N15*0.002</f>
        <v>8.2000000000000003E-2</v>
      </c>
      <c r="O16" s="87">
        <f>O15*0.002</f>
        <v>7.8E-2</v>
      </c>
      <c r="P16" s="87">
        <f>P15*0.002</f>
        <v>0.08</v>
      </c>
      <c r="Q16" s="87">
        <f>Q15*0.0021</f>
        <v>8.6099999999999996E-2</v>
      </c>
      <c r="R16" s="87">
        <f>R15*0.0021</f>
        <v>8.1900000000000001E-2</v>
      </c>
      <c r="T16" s="81">
        <f t="shared" ref="T16:AE16" si="1">G16*1000/G15</f>
        <v>2.1</v>
      </c>
      <c r="U16" s="81">
        <f t="shared" si="1"/>
        <v>2.0999999999999996</v>
      </c>
      <c r="V16" s="81">
        <f t="shared" si="1"/>
        <v>2.1</v>
      </c>
      <c r="W16" s="81">
        <f t="shared" si="1"/>
        <v>2.1</v>
      </c>
      <c r="X16" s="81">
        <f t="shared" si="1"/>
        <v>2.0999999999999996</v>
      </c>
      <c r="Y16" s="81">
        <f t="shared" si="1"/>
        <v>2.0999999999999996</v>
      </c>
      <c r="Z16" s="81">
        <f t="shared" si="1"/>
        <v>2.0000000000000004</v>
      </c>
      <c r="AA16" s="81">
        <f t="shared" si="1"/>
        <v>2</v>
      </c>
      <c r="AB16" s="81">
        <f t="shared" si="1"/>
        <v>2</v>
      </c>
      <c r="AC16" s="81">
        <f t="shared" si="1"/>
        <v>2</v>
      </c>
      <c r="AD16" s="81">
        <f t="shared" si="1"/>
        <v>2.0999999999999996</v>
      </c>
      <c r="AE16" s="81">
        <f t="shared" si="1"/>
        <v>2.1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76</v>
      </c>
      <c r="G17" s="75">
        <v>80</v>
      </c>
      <c r="H17" s="75">
        <v>79</v>
      </c>
      <c r="I17" s="75">
        <v>75</v>
      </c>
      <c r="J17" s="75">
        <v>72</v>
      </c>
      <c r="K17" s="75">
        <v>73</v>
      </c>
      <c r="L17" s="75">
        <v>72</v>
      </c>
      <c r="M17" s="75">
        <v>80</v>
      </c>
      <c r="N17" s="75">
        <v>78</v>
      </c>
      <c r="O17" s="75">
        <v>75</v>
      </c>
      <c r="P17" s="75">
        <v>73</v>
      </c>
      <c r="Q17" s="75">
        <v>77</v>
      </c>
      <c r="R17" s="75">
        <v>78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0.38462500000000005</v>
      </c>
      <c r="G18" s="116">
        <f>((G17*7)/16)/1000</f>
        <v>3.5000000000000003E-2</v>
      </c>
      <c r="H18" s="116">
        <f t="shared" ref="H18:R18" si="2">((H17*7)/16)/1000</f>
        <v>3.4562500000000003E-2</v>
      </c>
      <c r="I18" s="116">
        <f t="shared" si="2"/>
        <v>3.2812500000000001E-2</v>
      </c>
      <c r="J18" s="116">
        <f t="shared" si="2"/>
        <v>3.15E-2</v>
      </c>
      <c r="K18" s="116">
        <f t="shared" si="2"/>
        <v>3.1937500000000001E-2</v>
      </c>
      <c r="L18" s="116">
        <f>((L17*6)/16)/1000</f>
        <v>2.7E-2</v>
      </c>
      <c r="M18" s="116">
        <f>((M17*6)/16)/1000</f>
        <v>0.03</v>
      </c>
      <c r="N18" s="116">
        <f>((N17*6)/16)/1000</f>
        <v>2.9250000000000002E-2</v>
      </c>
      <c r="O18" s="116">
        <f>((O17*7)/16)/1000</f>
        <v>3.2812500000000001E-2</v>
      </c>
      <c r="P18" s="116">
        <f>((P17*7)/16)/1000</f>
        <v>3.1937500000000001E-2</v>
      </c>
      <c r="Q18" s="116">
        <f t="shared" si="2"/>
        <v>3.3687500000000002E-2</v>
      </c>
      <c r="R18" s="116">
        <f t="shared" si="2"/>
        <v>3.4125000000000003E-2</v>
      </c>
      <c r="T18" s="81">
        <f t="shared" ref="T18:AE18" si="3">(G18*1000/G17)*16</f>
        <v>7</v>
      </c>
      <c r="U18" s="81">
        <f t="shared" si="3"/>
        <v>7</v>
      </c>
      <c r="V18" s="81">
        <f t="shared" si="3"/>
        <v>7</v>
      </c>
      <c r="W18" s="81">
        <f t="shared" si="3"/>
        <v>7</v>
      </c>
      <c r="X18" s="81">
        <f t="shared" si="3"/>
        <v>7</v>
      </c>
      <c r="Y18" s="81">
        <f t="shared" si="3"/>
        <v>6</v>
      </c>
      <c r="Z18" s="81">
        <f t="shared" si="3"/>
        <v>6</v>
      </c>
      <c r="AA18" s="81">
        <f t="shared" si="3"/>
        <v>6</v>
      </c>
      <c r="AB18" s="81">
        <f t="shared" si="3"/>
        <v>7</v>
      </c>
      <c r="AC18" s="81">
        <f t="shared" si="3"/>
        <v>7</v>
      </c>
      <c r="AD18" s="81">
        <f t="shared" si="3"/>
        <v>7</v>
      </c>
      <c r="AE18" s="81">
        <f t="shared" si="3"/>
        <v>7</v>
      </c>
    </row>
    <row r="19" spans="2:31" ht="16.5" x14ac:dyDescent="0.3">
      <c r="B19" s="76"/>
      <c r="C19" s="65" t="s">
        <v>35</v>
      </c>
      <c r="D19" s="15" t="s">
        <v>36</v>
      </c>
      <c r="E19" s="66">
        <v>400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71</v>
      </c>
      <c r="G20" s="66">
        <v>6</v>
      </c>
      <c r="H20" s="66">
        <v>7</v>
      </c>
      <c r="I20" s="66">
        <v>4</v>
      </c>
      <c r="J20" s="66">
        <v>5</v>
      </c>
      <c r="K20" s="66">
        <v>6</v>
      </c>
      <c r="L20" s="66">
        <v>4</v>
      </c>
      <c r="M20" s="66">
        <v>7</v>
      </c>
      <c r="N20" s="66">
        <v>8</v>
      </c>
      <c r="O20" s="66">
        <v>6</v>
      </c>
      <c r="P20" s="66">
        <v>7</v>
      </c>
      <c r="Q20" s="66">
        <v>6</v>
      </c>
      <c r="R20" s="66">
        <v>5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9.4080000000000013</v>
      </c>
      <c r="G21" s="87">
        <f>G20*0.134</f>
        <v>0.80400000000000005</v>
      </c>
      <c r="H21" s="87">
        <f>H20*0.129</f>
        <v>0.90300000000000002</v>
      </c>
      <c r="I21" s="87">
        <f>I20*0.131</f>
        <v>0.52400000000000002</v>
      </c>
      <c r="J21" s="87">
        <f>J20*0.132</f>
        <v>0.66</v>
      </c>
      <c r="K21" s="87">
        <f t="shared" ref="K21:P21" si="4">K20*0.133</f>
        <v>0.79800000000000004</v>
      </c>
      <c r="L21" s="87">
        <f t="shared" si="4"/>
        <v>0.53200000000000003</v>
      </c>
      <c r="M21" s="87">
        <f t="shared" si="4"/>
        <v>0.93100000000000005</v>
      </c>
      <c r="N21" s="87">
        <f t="shared" si="4"/>
        <v>1.0640000000000001</v>
      </c>
      <c r="O21" s="87">
        <f t="shared" si="4"/>
        <v>0.79800000000000004</v>
      </c>
      <c r="P21" s="87">
        <f t="shared" si="4"/>
        <v>0.93100000000000005</v>
      </c>
      <c r="Q21" s="87">
        <f>Q20*0.133</f>
        <v>0.79800000000000004</v>
      </c>
      <c r="R21" s="87">
        <f>R20*0.133</f>
        <v>0.66500000000000004</v>
      </c>
      <c r="T21" s="81">
        <f t="shared" ref="T21:AE21" si="5">G21*1000/G20</f>
        <v>134</v>
      </c>
      <c r="U21" s="81">
        <f t="shared" si="5"/>
        <v>129</v>
      </c>
      <c r="V21" s="81">
        <f t="shared" si="5"/>
        <v>131</v>
      </c>
      <c r="W21" s="81">
        <f t="shared" si="5"/>
        <v>132</v>
      </c>
      <c r="X21" s="81">
        <f t="shared" si="5"/>
        <v>133</v>
      </c>
      <c r="Y21" s="81">
        <f t="shared" si="5"/>
        <v>133</v>
      </c>
      <c r="Z21" s="81">
        <f t="shared" si="5"/>
        <v>133</v>
      </c>
      <c r="AA21" s="81">
        <f t="shared" si="5"/>
        <v>133</v>
      </c>
      <c r="AB21" s="81">
        <f t="shared" si="5"/>
        <v>133</v>
      </c>
      <c r="AC21" s="81">
        <f t="shared" si="5"/>
        <v>133</v>
      </c>
      <c r="AD21" s="81">
        <f t="shared" si="5"/>
        <v>133</v>
      </c>
      <c r="AE21" s="81">
        <f t="shared" si="5"/>
        <v>133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23.75</v>
      </c>
      <c r="G22" s="66">
        <v>24</v>
      </c>
      <c r="H22" s="66">
        <v>26</v>
      </c>
      <c r="I22" s="66">
        <v>27</v>
      </c>
      <c r="J22" s="66">
        <v>26</v>
      </c>
      <c r="K22" s="66">
        <v>26</v>
      </c>
      <c r="L22" s="66">
        <v>24</v>
      </c>
      <c r="M22" s="66">
        <v>26</v>
      </c>
      <c r="N22" s="66">
        <v>24</v>
      </c>
      <c r="O22" s="66">
        <v>22</v>
      </c>
      <c r="P22" s="66">
        <v>21</v>
      </c>
      <c r="Q22" s="66">
        <v>20</v>
      </c>
      <c r="R22" s="66">
        <v>19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41.692520000000002</v>
      </c>
      <c r="G23" s="87">
        <f>G22*4.82*31/1000</f>
        <v>3.5860800000000004</v>
      </c>
      <c r="H23" s="87">
        <f>H22*4.52*29/1000</f>
        <v>3.4080799999999996</v>
      </c>
      <c r="I23" s="87">
        <f>I22*4.75*31/1000</f>
        <v>3.9757500000000001</v>
      </c>
      <c r="J23" s="87">
        <f>J22*4.82*30/1000</f>
        <v>3.7596000000000003</v>
      </c>
      <c r="K23" s="87">
        <f>K22*4.85*31/1000</f>
        <v>3.9091</v>
      </c>
      <c r="L23" s="87">
        <f>L22*4.87*30/1000</f>
        <v>3.5063999999999997</v>
      </c>
      <c r="M23" s="87">
        <f>M22*4.85*31/1000</f>
        <v>3.9091</v>
      </c>
      <c r="N23" s="87">
        <f>N22*4.83*31/1000</f>
        <v>3.5935199999999998</v>
      </c>
      <c r="O23" s="87">
        <f>O22*4.85*30/1000</f>
        <v>3.2009999999999996</v>
      </c>
      <c r="P23" s="87">
        <f>P22*4.8*31/1000</f>
        <v>3.1247999999999996</v>
      </c>
      <c r="Q23" s="87">
        <f>Q22*4.81*30/1000</f>
        <v>2.8859999999999997</v>
      </c>
      <c r="R23" s="87">
        <f>R22*4.81*31/1000</f>
        <v>2.8330899999999999</v>
      </c>
      <c r="T23" s="81">
        <f>(G23*1000/G22)/31</f>
        <v>4.82</v>
      </c>
      <c r="U23" s="81">
        <f>(H23*1000/H22)/28</f>
        <v>4.6814285714285706</v>
      </c>
      <c r="V23" s="81">
        <f>(I23*1000/I22)/31</f>
        <v>4.75</v>
      </c>
      <c r="W23" s="81">
        <f>(J23*1000/J22)/30</f>
        <v>4.8200000000000012</v>
      </c>
      <c r="X23" s="81">
        <f>(K23*1000/K22)/31</f>
        <v>4.8499999999999996</v>
      </c>
      <c r="Y23" s="81">
        <f>(L23*1000/L22)/30</f>
        <v>4.87</v>
      </c>
      <c r="Z23" s="81">
        <f>(M23*1000/M22)/31</f>
        <v>4.8499999999999996</v>
      </c>
      <c r="AA23" s="81">
        <f>(N23*1000/N22)/31</f>
        <v>4.83</v>
      </c>
      <c r="AB23" s="81">
        <f>(O23*1000/O22)/30</f>
        <v>4.8499999999999988</v>
      </c>
      <c r="AC23" s="81">
        <f>(P23*1000/P22)/31</f>
        <v>4.8</v>
      </c>
      <c r="AD23" s="81">
        <f>(Q23*1000/Q22)/30</f>
        <v>4.8099999999999996</v>
      </c>
      <c r="AE23" s="81">
        <f>(R23*1000/R22)/31</f>
        <v>4.8099999999999996</v>
      </c>
    </row>
    <row r="24" spans="2:31" ht="16.5" x14ac:dyDescent="0.3">
      <c r="B24" s="76"/>
      <c r="C24" s="65" t="s">
        <v>35</v>
      </c>
      <c r="D24" s="15" t="s">
        <v>36</v>
      </c>
      <c r="E24" s="66">
        <v>390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77</v>
      </c>
      <c r="G25" s="66">
        <v>7</v>
      </c>
      <c r="H25" s="66">
        <v>6</v>
      </c>
      <c r="I25" s="66">
        <v>4</v>
      </c>
      <c r="J25" s="66">
        <v>7</v>
      </c>
      <c r="K25" s="66">
        <v>6</v>
      </c>
      <c r="L25" s="66">
        <v>4</v>
      </c>
      <c r="M25" s="66">
        <v>9</v>
      </c>
      <c r="N25" s="66">
        <v>7</v>
      </c>
      <c r="O25" s="66">
        <v>6</v>
      </c>
      <c r="P25" s="66">
        <v>7</v>
      </c>
      <c r="Q25" s="66">
        <v>8</v>
      </c>
      <c r="R25" s="66">
        <v>6</v>
      </c>
      <c r="S25" s="7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1.0341</v>
      </c>
      <c r="G26" s="87">
        <f>G25*0.0132</f>
        <v>9.2399999999999996E-2</v>
      </c>
      <c r="H26" s="87">
        <f>H25*0.013</f>
        <v>7.8E-2</v>
      </c>
      <c r="I26" s="87">
        <f>I25*0.0135</f>
        <v>5.3999999999999999E-2</v>
      </c>
      <c r="J26" s="87">
        <f>J25*0.014</f>
        <v>9.8000000000000004E-2</v>
      </c>
      <c r="K26" s="87">
        <f>K25*0.014</f>
        <v>8.4000000000000005E-2</v>
      </c>
      <c r="L26" s="87">
        <f>L25*0.014</f>
        <v>5.6000000000000001E-2</v>
      </c>
      <c r="M26" s="87">
        <f>M25*0.0136</f>
        <v>0.12239999999999999</v>
      </c>
      <c r="N26" s="87">
        <f>N25*0.0135</f>
        <v>9.4500000000000001E-2</v>
      </c>
      <c r="O26" s="87">
        <f>O25*0.0134</f>
        <v>8.0399999999999999E-2</v>
      </c>
      <c r="P26" s="87">
        <f>P25*0.0132</f>
        <v>9.2399999999999996E-2</v>
      </c>
      <c r="Q26" s="87">
        <f>Q25*0.013</f>
        <v>0.104</v>
      </c>
      <c r="R26" s="87">
        <f>R25*0.013</f>
        <v>7.8E-2</v>
      </c>
      <c r="T26" s="81">
        <f t="shared" ref="T26:AE26" si="6">G26*1000/G25</f>
        <v>13.2</v>
      </c>
      <c r="U26" s="81">
        <f t="shared" si="6"/>
        <v>13</v>
      </c>
      <c r="V26" s="81">
        <f t="shared" si="6"/>
        <v>13.5</v>
      </c>
      <c r="W26" s="81">
        <f t="shared" si="6"/>
        <v>14</v>
      </c>
      <c r="X26" s="81">
        <f t="shared" si="6"/>
        <v>14</v>
      </c>
      <c r="Y26" s="81">
        <f t="shared" si="6"/>
        <v>14</v>
      </c>
      <c r="Z26" s="81">
        <f t="shared" si="6"/>
        <v>13.6</v>
      </c>
      <c r="AA26" s="81">
        <f t="shared" si="6"/>
        <v>13.5</v>
      </c>
      <c r="AB26" s="81">
        <f t="shared" si="6"/>
        <v>13.4</v>
      </c>
      <c r="AC26" s="81">
        <f t="shared" si="6"/>
        <v>13.2</v>
      </c>
      <c r="AD26" s="81">
        <f t="shared" si="6"/>
        <v>13</v>
      </c>
      <c r="AE26" s="81">
        <f t="shared" si="6"/>
        <v>13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320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133</v>
      </c>
      <c r="G30" s="66">
        <v>11</v>
      </c>
      <c r="H30" s="66">
        <v>12</v>
      </c>
      <c r="I30" s="66">
        <v>10</v>
      </c>
      <c r="J30" s="66">
        <v>11</v>
      </c>
      <c r="K30" s="66">
        <v>11</v>
      </c>
      <c r="L30" s="66">
        <v>9</v>
      </c>
      <c r="M30" s="66">
        <v>12</v>
      </c>
      <c r="N30" s="66">
        <v>11</v>
      </c>
      <c r="O30" s="66">
        <v>11</v>
      </c>
      <c r="P30" s="66">
        <v>14</v>
      </c>
      <c r="Q30" s="66">
        <v>11</v>
      </c>
      <c r="R30" s="66">
        <v>10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7.269000000000001</v>
      </c>
      <c r="G31" s="87">
        <f>G30*0.055</f>
        <v>0.60499999999999998</v>
      </c>
      <c r="H31" s="87">
        <f>H30*0.054</f>
        <v>0.64800000000000002</v>
      </c>
      <c r="I31" s="87">
        <f>I30*0.055</f>
        <v>0.55000000000000004</v>
      </c>
      <c r="J31" s="87">
        <f>J30*0.055</f>
        <v>0.60499999999999998</v>
      </c>
      <c r="K31" s="87">
        <f>K30*0.055</f>
        <v>0.60499999999999998</v>
      </c>
      <c r="L31" s="87">
        <f>L30*0.055</f>
        <v>0.495</v>
      </c>
      <c r="M31" s="87">
        <f>M30*0.054</f>
        <v>0.64800000000000002</v>
      </c>
      <c r="N31" s="87">
        <f>N30*0.054</f>
        <v>0.59399999999999997</v>
      </c>
      <c r="O31" s="87">
        <f>O30*0.054</f>
        <v>0.59399999999999997</v>
      </c>
      <c r="P31" s="87">
        <f>P30*0.055</f>
        <v>0.77</v>
      </c>
      <c r="Q31" s="87">
        <f>Q30*0.055</f>
        <v>0.60499999999999998</v>
      </c>
      <c r="R31" s="87">
        <f>R30*0.055</f>
        <v>0.55000000000000004</v>
      </c>
      <c r="T31" s="81">
        <f t="shared" ref="T31:AE31" si="7">G31*1000/G30</f>
        <v>55</v>
      </c>
      <c r="U31" s="81">
        <f t="shared" si="7"/>
        <v>54</v>
      </c>
      <c r="V31" s="81">
        <f t="shared" si="7"/>
        <v>55</v>
      </c>
      <c r="W31" s="81">
        <f t="shared" si="7"/>
        <v>55</v>
      </c>
      <c r="X31" s="81">
        <f t="shared" si="7"/>
        <v>55</v>
      </c>
      <c r="Y31" s="81">
        <f t="shared" si="7"/>
        <v>55</v>
      </c>
      <c r="Z31" s="81">
        <f t="shared" si="7"/>
        <v>54</v>
      </c>
      <c r="AA31" s="81">
        <f t="shared" si="7"/>
        <v>54</v>
      </c>
      <c r="AB31" s="81">
        <f t="shared" si="7"/>
        <v>54</v>
      </c>
      <c r="AC31" s="81">
        <f t="shared" si="7"/>
        <v>55</v>
      </c>
      <c r="AD31" s="81">
        <f t="shared" si="7"/>
        <v>55</v>
      </c>
      <c r="AE31" s="81">
        <f t="shared" si="7"/>
        <v>55</v>
      </c>
    </row>
    <row r="32" spans="2:31" ht="16.5" x14ac:dyDescent="0.3">
      <c r="B32" s="76"/>
      <c r="C32" s="65" t="s">
        <v>35</v>
      </c>
      <c r="D32" s="15" t="s">
        <v>36</v>
      </c>
      <c r="E32" s="66">
        <v>520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158</v>
      </c>
      <c r="G33" s="66">
        <v>14</v>
      </c>
      <c r="H33" s="66">
        <v>13</v>
      </c>
      <c r="I33" s="66">
        <v>9</v>
      </c>
      <c r="J33" s="66">
        <v>12</v>
      </c>
      <c r="K33" s="66">
        <v>13</v>
      </c>
      <c r="L33" s="66">
        <v>15</v>
      </c>
      <c r="M33" s="66">
        <v>14</v>
      </c>
      <c r="N33" s="66">
        <v>16</v>
      </c>
      <c r="O33" s="66">
        <v>14</v>
      </c>
      <c r="P33" s="66">
        <v>13</v>
      </c>
      <c r="Q33" s="66">
        <v>11</v>
      </c>
      <c r="R33" s="66">
        <v>14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1.7407999999999999</v>
      </c>
      <c r="G34" s="87">
        <f>G33*0.0112</f>
        <v>0.15679999999999999</v>
      </c>
      <c r="H34" s="87">
        <f t="shared" ref="H34:Q34" si="8">H33*0.011</f>
        <v>0.14299999999999999</v>
      </c>
      <c r="I34" s="87">
        <f t="shared" si="8"/>
        <v>9.8999999999999991E-2</v>
      </c>
      <c r="J34" s="87">
        <f t="shared" si="8"/>
        <v>0.13200000000000001</v>
      </c>
      <c r="K34" s="87">
        <f t="shared" si="8"/>
        <v>0.14299999999999999</v>
      </c>
      <c r="L34" s="87">
        <f t="shared" si="8"/>
        <v>0.16499999999999998</v>
      </c>
      <c r="M34" s="87">
        <f t="shared" si="8"/>
        <v>0.154</v>
      </c>
      <c r="N34" s="87">
        <f t="shared" si="8"/>
        <v>0.17599999999999999</v>
      </c>
      <c r="O34" s="87">
        <f t="shared" si="8"/>
        <v>0.154</v>
      </c>
      <c r="P34" s="87">
        <f t="shared" si="8"/>
        <v>0.14299999999999999</v>
      </c>
      <c r="Q34" s="87">
        <f t="shared" si="8"/>
        <v>0.121</v>
      </c>
      <c r="R34" s="87">
        <f>R33*0.011</f>
        <v>0.154</v>
      </c>
      <c r="T34" s="81">
        <f t="shared" ref="T34:AE34" si="9">G34*1000/G33</f>
        <v>11.2</v>
      </c>
      <c r="U34" s="81">
        <f t="shared" si="9"/>
        <v>11</v>
      </c>
      <c r="V34" s="81">
        <f t="shared" si="9"/>
        <v>10.999999999999998</v>
      </c>
      <c r="W34" s="81">
        <f t="shared" si="9"/>
        <v>11</v>
      </c>
      <c r="X34" s="81">
        <f t="shared" si="9"/>
        <v>11</v>
      </c>
      <c r="Y34" s="81">
        <f t="shared" si="9"/>
        <v>10.999999999999998</v>
      </c>
      <c r="Z34" s="81">
        <f t="shared" si="9"/>
        <v>11</v>
      </c>
      <c r="AA34" s="81">
        <f t="shared" si="9"/>
        <v>11</v>
      </c>
      <c r="AB34" s="81">
        <f t="shared" si="9"/>
        <v>11</v>
      </c>
      <c r="AC34" s="81">
        <f t="shared" si="9"/>
        <v>11</v>
      </c>
      <c r="AD34" s="81">
        <f t="shared" si="9"/>
        <v>11</v>
      </c>
      <c r="AE34" s="81">
        <f t="shared" si="9"/>
        <v>11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 t="shared" ref="T37:AE37" si="10">G37*1000/G36</f>
        <v>#DIV/0!</v>
      </c>
      <c r="U37" s="81" t="e">
        <f t="shared" si="10"/>
        <v>#DIV/0!</v>
      </c>
      <c r="V37" s="81" t="e">
        <f t="shared" si="10"/>
        <v>#DIV/0!</v>
      </c>
      <c r="W37" s="81" t="e">
        <f t="shared" si="10"/>
        <v>#DIV/0!</v>
      </c>
      <c r="X37" s="81" t="e">
        <f t="shared" si="10"/>
        <v>#DIV/0!</v>
      </c>
      <c r="Y37" s="81" t="e">
        <f t="shared" si="10"/>
        <v>#DIV/0!</v>
      </c>
      <c r="Z37" s="81" t="e">
        <f t="shared" si="10"/>
        <v>#DIV/0!</v>
      </c>
      <c r="AA37" s="81" t="e">
        <f t="shared" si="10"/>
        <v>#DIV/0!</v>
      </c>
      <c r="AB37" s="81" t="e">
        <f t="shared" si="10"/>
        <v>#DIV/0!</v>
      </c>
      <c r="AC37" s="81" t="e">
        <f t="shared" si="10"/>
        <v>#DIV/0!</v>
      </c>
      <c r="AD37" s="81" t="e">
        <f t="shared" si="10"/>
        <v>#DIV/0!</v>
      </c>
      <c r="AE37" s="81" t="e">
        <f t="shared" si="10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 t="shared" ref="T42:AE42" si="11">G42*1000/G41</f>
        <v>#DIV/0!</v>
      </c>
      <c r="U42" s="81" t="e">
        <f t="shared" si="11"/>
        <v>#DIV/0!</v>
      </c>
      <c r="V42" s="81" t="e">
        <f t="shared" si="11"/>
        <v>#DIV/0!</v>
      </c>
      <c r="W42" s="81" t="e">
        <f t="shared" si="11"/>
        <v>#DIV/0!</v>
      </c>
      <c r="X42" s="81" t="e">
        <f t="shared" si="11"/>
        <v>#DIV/0!</v>
      </c>
      <c r="Y42" s="81" t="e">
        <f t="shared" si="11"/>
        <v>#DIV/0!</v>
      </c>
      <c r="Z42" s="81" t="e">
        <f t="shared" si="11"/>
        <v>#DIV/0!</v>
      </c>
      <c r="AA42" s="81" t="e">
        <f t="shared" si="11"/>
        <v>#DIV/0!</v>
      </c>
      <c r="AB42" s="81" t="e">
        <f t="shared" si="11"/>
        <v>#DIV/0!</v>
      </c>
      <c r="AC42" s="81" t="e">
        <f t="shared" si="11"/>
        <v>#DIV/0!</v>
      </c>
      <c r="AD42" s="81" t="e">
        <f t="shared" si="11"/>
        <v>#DIV/0!</v>
      </c>
      <c r="AE42" s="81" t="e">
        <f t="shared" si="11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91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9" firstPageNumber="0" orientation="landscape" horizontalDpi="300" verticalDpi="300" r:id="rId1"/>
  <headerFooter alignWithMargins="0"/>
  <colBreaks count="1" manualBreakCount="1">
    <brk id="18" max="1048575" man="1"/>
  </colBreaks>
  <ignoredErrors>
    <ignoredError sqref="L23 H31 F17 F2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52"/>
  <sheetViews>
    <sheetView topLeftCell="B1" zoomScale="82" zoomScaleNormal="82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H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5.7109375" customWidth="1"/>
    <col min="20" max="31" width="9.7109375" hidden="1" customWidth="1"/>
    <col min="32" max="34" width="0" hidden="1" customWidth="1"/>
  </cols>
  <sheetData>
    <row r="1" spans="1:35" x14ac:dyDescent="0.2">
      <c r="A1" s="144" t="s">
        <v>0</v>
      </c>
      <c r="B1" s="144"/>
      <c r="C1" s="144"/>
      <c r="D1" s="144"/>
      <c r="E1" s="1"/>
    </row>
    <row r="2" spans="1:35" x14ac:dyDescent="0.2">
      <c r="A2" s="144" t="s">
        <v>1</v>
      </c>
      <c r="B2" s="144"/>
      <c r="C2" s="144"/>
      <c r="D2" s="144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5" x14ac:dyDescent="0.2">
      <c r="A3" s="144" t="s">
        <v>2</v>
      </c>
      <c r="B3" s="144"/>
      <c r="C3" s="144"/>
      <c r="D3" s="144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5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5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5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5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1:35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  <c r="Y8" s="121"/>
    </row>
    <row r="9" spans="1:35" x14ac:dyDescent="0.2">
      <c r="B9" s="50" t="s">
        <v>68</v>
      </c>
      <c r="C9" s="46"/>
      <c r="D9" s="51" t="s">
        <v>86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5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5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  <c r="T11" t="s">
        <v>92</v>
      </c>
    </row>
    <row r="12" spans="1:35" x14ac:dyDescent="0.2">
      <c r="B12" s="56" t="s">
        <v>8</v>
      </c>
      <c r="C12" s="57" t="s">
        <v>9</v>
      </c>
      <c r="D12" s="57" t="s">
        <v>72</v>
      </c>
      <c r="E12" s="113">
        <f>Caravel!E12</f>
        <v>2025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5" x14ac:dyDescent="0.2">
      <c r="B13" s="60"/>
      <c r="C13" s="61"/>
      <c r="D13" s="62" t="s">
        <v>73</v>
      </c>
      <c r="E13" s="96" t="s">
        <v>33</v>
      </c>
      <c r="F13" s="113">
        <f>Caravel!F13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5" ht="16.5" x14ac:dyDescent="0.3">
      <c r="B14" s="64" t="s">
        <v>34</v>
      </c>
      <c r="C14" s="65" t="s">
        <v>35</v>
      </c>
      <c r="D14" s="15" t="s">
        <v>36</v>
      </c>
      <c r="E14" s="66">
        <v>460</v>
      </c>
      <c r="F14" s="66"/>
      <c r="G14" s="17"/>
      <c r="H14" s="119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5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548</v>
      </c>
      <c r="G15" s="118">
        <v>47</v>
      </c>
      <c r="H15" s="120">
        <v>44</v>
      </c>
      <c r="I15" s="66">
        <v>49</v>
      </c>
      <c r="J15" s="66">
        <v>44</v>
      </c>
      <c r="K15" s="66">
        <v>42</v>
      </c>
      <c r="L15" s="66">
        <v>44</v>
      </c>
      <c r="M15" s="66">
        <v>50</v>
      </c>
      <c r="N15" s="66">
        <v>46</v>
      </c>
      <c r="O15" s="66">
        <v>45</v>
      </c>
      <c r="P15" s="66">
        <v>47</v>
      </c>
      <c r="Q15" s="66">
        <v>46</v>
      </c>
      <c r="R15" s="66">
        <v>44</v>
      </c>
      <c r="S15" s="77"/>
    </row>
    <row r="16" spans="1:35" ht="16.5" x14ac:dyDescent="0.3">
      <c r="B16" s="60"/>
      <c r="C16" s="65" t="s">
        <v>40</v>
      </c>
      <c r="D16" s="15" t="s">
        <v>41</v>
      </c>
      <c r="E16" s="66"/>
      <c r="F16" s="87">
        <f>SUM(G16:R16)</f>
        <v>1.2210399999999999</v>
      </c>
      <c r="G16" s="87">
        <f>G15*0.00224</f>
        <v>0.10527999999999998</v>
      </c>
      <c r="H16" s="87">
        <f>H15*0.00224</f>
        <v>9.8559999999999995E-2</v>
      </c>
      <c r="I16" s="87">
        <f>I15*0.00224</f>
        <v>0.10976</v>
      </c>
      <c r="J16" s="87">
        <f>J15*0.00224</f>
        <v>9.8559999999999995E-2</v>
      </c>
      <c r="K16" s="87">
        <f>K15*0.00223</f>
        <v>9.3660000000000007E-2</v>
      </c>
      <c r="L16" s="87">
        <f>L15*0.00222</f>
        <v>9.7680000000000003E-2</v>
      </c>
      <c r="M16" s="87">
        <f>M15*0.00221</f>
        <v>0.11050000000000001</v>
      </c>
      <c r="N16" s="87">
        <f>N15*0.00221</f>
        <v>0.10166</v>
      </c>
      <c r="O16" s="87">
        <f>O15*0.00222</f>
        <v>9.9900000000000003E-2</v>
      </c>
      <c r="P16" s="87">
        <f>P15*0.00222</f>
        <v>0.10434</v>
      </c>
      <c r="Q16" s="87">
        <f>Q15*0.00223</f>
        <v>0.10258</v>
      </c>
      <c r="R16" s="87">
        <f>R15*0.00224</f>
        <v>9.8559999999999995E-2</v>
      </c>
      <c r="T16" s="81">
        <f>G16*1000/G15</f>
        <v>2.2399999999999998</v>
      </c>
      <c r="U16" s="81">
        <f>H16*1000/H15</f>
        <v>2.2399999999999998</v>
      </c>
      <c r="V16" s="81">
        <f t="shared" ref="V16:AD16" si="0">I16*1000/I15</f>
        <v>2.2399999999999998</v>
      </c>
      <c r="W16" s="81">
        <f t="shared" si="0"/>
        <v>2.2399999999999998</v>
      </c>
      <c r="X16" s="81">
        <f t="shared" si="0"/>
        <v>2.2300000000000004</v>
      </c>
      <c r="Y16" s="81">
        <f>L16*1000/L15</f>
        <v>2.2200000000000002</v>
      </c>
      <c r="Z16" s="81">
        <f t="shared" si="0"/>
        <v>2.2100000000000004</v>
      </c>
      <c r="AA16" s="81">
        <f t="shared" si="0"/>
        <v>2.21</v>
      </c>
      <c r="AB16" s="81">
        <f t="shared" si="0"/>
        <v>2.2200000000000002</v>
      </c>
      <c r="AC16" s="81">
        <f t="shared" si="0"/>
        <v>2.2200000000000002</v>
      </c>
      <c r="AD16" s="81">
        <f t="shared" si="0"/>
        <v>2.23</v>
      </c>
      <c r="AE16" s="81">
        <f>R16*1000/R15</f>
        <v>2.2399999999999998</v>
      </c>
      <c r="AI16" s="122"/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162.58333333333334</v>
      </c>
      <c r="G17" s="75">
        <v>210</v>
      </c>
      <c r="H17" s="75">
        <v>205</v>
      </c>
      <c r="I17" s="75">
        <v>164</v>
      </c>
      <c r="J17" s="75">
        <v>160</v>
      </c>
      <c r="K17" s="75">
        <v>155</v>
      </c>
      <c r="L17" s="75">
        <v>150</v>
      </c>
      <c r="M17" s="75">
        <v>169</v>
      </c>
      <c r="N17" s="75">
        <v>163</v>
      </c>
      <c r="O17" s="75">
        <v>155</v>
      </c>
      <c r="P17" s="75">
        <v>149</v>
      </c>
      <c r="Q17" s="75">
        <v>140</v>
      </c>
      <c r="R17" s="75">
        <v>131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1.3933749999999998</v>
      </c>
      <c r="G18" s="87">
        <f>((G17*12)/16)/1000</f>
        <v>0.1575</v>
      </c>
      <c r="H18" s="87">
        <f>((H17*12)/16)/1000</f>
        <v>0.15375</v>
      </c>
      <c r="I18" s="87">
        <f>((I17*12)/16)/1000</f>
        <v>0.123</v>
      </c>
      <c r="J18" s="87">
        <f>((J17*12)/16)/1000</f>
        <v>0.12</v>
      </c>
      <c r="K18" s="87">
        <f>((K17*12)/16)/1000</f>
        <v>0.11625000000000001</v>
      </c>
      <c r="L18" s="87">
        <f>((L17*11)/16)/1000</f>
        <v>0.10312499999999999</v>
      </c>
      <c r="M18" s="87">
        <f>((M17*10)/16)/1000</f>
        <v>0.105625</v>
      </c>
      <c r="N18" s="87">
        <f>((N17*10)/16)/1000</f>
        <v>0.10187499999999999</v>
      </c>
      <c r="O18" s="87">
        <f>((O17*11)/16)/1000</f>
        <v>0.1065625</v>
      </c>
      <c r="P18" s="87">
        <f>((P17*11)/16)/1000</f>
        <v>0.1024375</v>
      </c>
      <c r="Q18" s="87">
        <f>((Q17*12)/16)/1000</f>
        <v>0.105</v>
      </c>
      <c r="R18" s="87">
        <f>((R17*12)/16)/1000</f>
        <v>9.8250000000000004E-2</v>
      </c>
      <c r="T18" s="81">
        <f>(G18*1000/G17)*16</f>
        <v>12</v>
      </c>
      <c r="U18" s="81">
        <f>(H18*1000/H17)*16</f>
        <v>12</v>
      </c>
      <c r="V18" s="81">
        <f t="shared" ref="V18:AE18" si="1">(I18*1000/I17)*16</f>
        <v>12</v>
      </c>
      <c r="W18" s="81">
        <f t="shared" si="1"/>
        <v>12</v>
      </c>
      <c r="X18" s="81">
        <f t="shared" si="1"/>
        <v>12</v>
      </c>
      <c r="Y18" s="81">
        <f>(L18*1000/L17)*16</f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11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650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118</v>
      </c>
      <c r="G20" s="66">
        <v>11</v>
      </c>
      <c r="H20" s="66">
        <v>9</v>
      </c>
      <c r="I20" s="66">
        <v>8</v>
      </c>
      <c r="J20" s="66">
        <v>10</v>
      </c>
      <c r="K20" s="66">
        <v>9</v>
      </c>
      <c r="L20" s="66">
        <v>10</v>
      </c>
      <c r="M20" s="66">
        <v>9</v>
      </c>
      <c r="N20" s="66">
        <v>10</v>
      </c>
      <c r="O20" s="66">
        <v>11</v>
      </c>
      <c r="P20" s="66">
        <v>12</v>
      </c>
      <c r="Q20" s="66">
        <v>10</v>
      </c>
      <c r="R20" s="66">
        <v>9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16.768000000000001</v>
      </c>
      <c r="G21" s="87">
        <f>G20*0.139</f>
        <v>1.5290000000000001</v>
      </c>
      <c r="H21" s="87">
        <f>H20*0.139</f>
        <v>1.2510000000000001</v>
      </c>
      <c r="I21" s="87">
        <f>I20*0.141</f>
        <v>1.1279999999999999</v>
      </c>
      <c r="J21" s="87">
        <f>J20*0.142</f>
        <v>1.42</v>
      </c>
      <c r="K21" s="87">
        <f t="shared" ref="K21:P21" si="2">K20*0.143</f>
        <v>1.2869999999999999</v>
      </c>
      <c r="L21" s="87">
        <f t="shared" si="2"/>
        <v>1.43</v>
      </c>
      <c r="M21" s="87">
        <f t="shared" si="2"/>
        <v>1.2869999999999999</v>
      </c>
      <c r="N21" s="87">
        <f t="shared" si="2"/>
        <v>1.43</v>
      </c>
      <c r="O21" s="87">
        <f t="shared" si="2"/>
        <v>1.573</v>
      </c>
      <c r="P21" s="87">
        <f t="shared" si="2"/>
        <v>1.7159999999999997</v>
      </c>
      <c r="Q21" s="87">
        <f>Q20*0.143</f>
        <v>1.43</v>
      </c>
      <c r="R21" s="87">
        <f>R20*0.143</f>
        <v>1.2869999999999999</v>
      </c>
      <c r="T21" s="81">
        <f>G21*1000/G20</f>
        <v>139.00000000000003</v>
      </c>
      <c r="U21" s="81">
        <f>H21*1000/H20</f>
        <v>139</v>
      </c>
      <c r="V21" s="81">
        <f t="shared" ref="V21:AE21" si="3">I21*1000/I20</f>
        <v>141</v>
      </c>
      <c r="W21" s="81">
        <f t="shared" si="3"/>
        <v>142</v>
      </c>
      <c r="X21" s="81">
        <f t="shared" si="3"/>
        <v>143</v>
      </c>
      <c r="Y21" s="81">
        <f>L21*1000/L20</f>
        <v>143</v>
      </c>
      <c r="Z21" s="81">
        <f t="shared" si="3"/>
        <v>143</v>
      </c>
      <c r="AA21" s="81">
        <f t="shared" si="3"/>
        <v>143</v>
      </c>
      <c r="AB21" s="81">
        <f t="shared" si="3"/>
        <v>143</v>
      </c>
      <c r="AC21" s="81">
        <f t="shared" si="3"/>
        <v>142.99999999999997</v>
      </c>
      <c r="AD21" s="81">
        <f t="shared" si="3"/>
        <v>143</v>
      </c>
      <c r="AE21" s="81">
        <f t="shared" si="3"/>
        <v>143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119.08333333333333</v>
      </c>
      <c r="G22" s="66">
        <v>120</v>
      </c>
      <c r="H22" s="66">
        <v>118</v>
      </c>
      <c r="I22" s="66">
        <v>112</v>
      </c>
      <c r="J22" s="66">
        <v>110</v>
      </c>
      <c r="K22" s="66">
        <v>109</v>
      </c>
      <c r="L22" s="66">
        <v>112</v>
      </c>
      <c r="M22" s="66">
        <v>118</v>
      </c>
      <c r="N22" s="66">
        <v>122</v>
      </c>
      <c r="O22" s="66">
        <v>125</v>
      </c>
      <c r="P22" s="66">
        <v>128</v>
      </c>
      <c r="Q22" s="66">
        <v>126</v>
      </c>
      <c r="R22" s="66">
        <v>129</v>
      </c>
      <c r="S22" s="77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264.67074000000002</v>
      </c>
      <c r="G23" s="87">
        <f>G22*6.16*31/1000</f>
        <v>22.915200000000002</v>
      </c>
      <c r="H23" s="87">
        <f>H22*5.62*29/1000</f>
        <v>19.231639999999999</v>
      </c>
      <c r="I23" s="87">
        <f>I22*5.82*31/1000</f>
        <v>20.207039999999999</v>
      </c>
      <c r="J23" s="87">
        <f>J22*6.03*30/1000</f>
        <v>19.899000000000004</v>
      </c>
      <c r="K23" s="87">
        <f>K22*6.11*31/1000</f>
        <v>20.645689999999998</v>
      </c>
      <c r="L23" s="87">
        <f>L22*6.13*30/1000</f>
        <v>20.596799999999998</v>
      </c>
      <c r="M23" s="87">
        <f>M22*6.15*31/1000</f>
        <v>22.496700000000001</v>
      </c>
      <c r="N23" s="87">
        <f>N22*6.16*31/1000</f>
        <v>23.29712</v>
      </c>
      <c r="O23" s="87">
        <f>O22*6.17*30/1000</f>
        <v>23.137499999999999</v>
      </c>
      <c r="P23" s="87">
        <f>P22*6.15*31/1000</f>
        <v>24.403200000000002</v>
      </c>
      <c r="Q23" s="87">
        <f>Q22*6.15*30/1000</f>
        <v>23.247000000000003</v>
      </c>
      <c r="R23" s="87">
        <f>R22*6.15*31/1000</f>
        <v>24.593850000000003</v>
      </c>
      <c r="T23" s="81">
        <f>(G23*1000/G22)/31</f>
        <v>6.16</v>
      </c>
      <c r="U23" s="81">
        <f>(H23*1000/H22)/28</f>
        <v>5.8207142857142857</v>
      </c>
      <c r="V23" s="81">
        <f t="shared" ref="V23:AE23" si="4">(I23*1000/I22)/31</f>
        <v>5.82</v>
      </c>
      <c r="W23" s="81">
        <f>(J23*1000/J22)/30</f>
        <v>6.0300000000000011</v>
      </c>
      <c r="X23" s="81">
        <f t="shared" si="4"/>
        <v>6.11</v>
      </c>
      <c r="Y23" s="81">
        <f>(L23*1000/L22)/30</f>
        <v>6.13</v>
      </c>
      <c r="Z23" s="81">
        <f t="shared" si="4"/>
        <v>6.15</v>
      </c>
      <c r="AA23" s="81">
        <f t="shared" si="4"/>
        <v>6.1599999999999993</v>
      </c>
      <c r="AB23" s="81">
        <f>(O23*1000/O22)/30</f>
        <v>6.17</v>
      </c>
      <c r="AC23" s="81">
        <f t="shared" si="4"/>
        <v>6.15</v>
      </c>
      <c r="AD23" s="81">
        <f>(Q23*1000/Q22)/30</f>
        <v>6.1500000000000012</v>
      </c>
      <c r="AE23" s="81">
        <f t="shared" si="4"/>
        <v>6.15</v>
      </c>
    </row>
    <row r="24" spans="2:31" ht="16.5" x14ac:dyDescent="0.3">
      <c r="B24" s="76"/>
      <c r="C24" s="65" t="s">
        <v>35</v>
      </c>
      <c r="D24" s="15" t="s">
        <v>36</v>
      </c>
      <c r="E24" s="66">
        <v>1200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386</v>
      </c>
      <c r="G25" s="66">
        <v>30</v>
      </c>
      <c r="H25" s="66">
        <v>28</v>
      </c>
      <c r="I25" s="66">
        <v>22</v>
      </c>
      <c r="J25" s="66">
        <v>25</v>
      </c>
      <c r="K25" s="66">
        <v>27</v>
      </c>
      <c r="L25" s="66">
        <v>29</v>
      </c>
      <c r="M25" s="66">
        <v>34</v>
      </c>
      <c r="N25" s="66">
        <v>38</v>
      </c>
      <c r="O25" s="66">
        <v>41</v>
      </c>
      <c r="P25" s="66">
        <v>40</v>
      </c>
      <c r="Q25" s="66">
        <v>38</v>
      </c>
      <c r="R25" s="66">
        <v>34</v>
      </c>
      <c r="S25" s="7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5.4357000000000006</v>
      </c>
      <c r="G26" s="87">
        <f>G25*0.0139</f>
        <v>0.41699999999999998</v>
      </c>
      <c r="H26" s="87">
        <f>H25*0.0135</f>
        <v>0.378</v>
      </c>
      <c r="I26" s="87">
        <f>I25*0.014</f>
        <v>0.308</v>
      </c>
      <c r="J26" s="87">
        <f>J25*0.015</f>
        <v>0.375</v>
      </c>
      <c r="K26" s="87">
        <f>K25*0.015</f>
        <v>0.40499999999999997</v>
      </c>
      <c r="L26" s="87">
        <f>L25*0.0145</f>
        <v>0.42050000000000004</v>
      </c>
      <c r="M26" s="87">
        <f>M25*0.014</f>
        <v>0.47600000000000003</v>
      </c>
      <c r="N26" s="87">
        <f>N25*0.014</f>
        <v>0.53200000000000003</v>
      </c>
      <c r="O26" s="87">
        <f>O25*0.014</f>
        <v>0.57400000000000007</v>
      </c>
      <c r="P26" s="87">
        <f>P25*0.014</f>
        <v>0.56000000000000005</v>
      </c>
      <c r="Q26" s="87">
        <f>Q25*0.0138</f>
        <v>0.52439999999999998</v>
      </c>
      <c r="R26" s="87">
        <f>R25*0.0137</f>
        <v>0.46579999999999999</v>
      </c>
      <c r="T26" s="81">
        <f>G26*1000/G25</f>
        <v>13.9</v>
      </c>
      <c r="U26" s="81">
        <f>H26*1000/H25</f>
        <v>13.5</v>
      </c>
      <c r="V26" s="81">
        <f t="shared" ref="V26:AE26" si="5">I26*1000/I25</f>
        <v>14</v>
      </c>
      <c r="W26" s="81">
        <f t="shared" si="5"/>
        <v>15</v>
      </c>
      <c r="X26" s="81">
        <f>K26*1000/K25</f>
        <v>14.999999999999998</v>
      </c>
      <c r="Y26" s="81">
        <f>L26*1000/L25</f>
        <v>14.500000000000002</v>
      </c>
      <c r="Z26" s="81">
        <f t="shared" si="5"/>
        <v>14.000000000000002</v>
      </c>
      <c r="AA26" s="81">
        <f t="shared" si="5"/>
        <v>14</v>
      </c>
      <c r="AB26" s="81">
        <f t="shared" si="5"/>
        <v>14.000000000000004</v>
      </c>
      <c r="AC26" s="81">
        <f t="shared" si="5"/>
        <v>14</v>
      </c>
      <c r="AD26" s="81">
        <f t="shared" si="5"/>
        <v>13.799999999999999</v>
      </c>
      <c r="AE26" s="81">
        <f t="shared" si="5"/>
        <v>13.700000000000001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300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135</v>
      </c>
      <c r="G30" s="66">
        <v>11</v>
      </c>
      <c r="H30" s="66">
        <v>12</v>
      </c>
      <c r="I30" s="66">
        <v>13</v>
      </c>
      <c r="J30" s="66">
        <v>9</v>
      </c>
      <c r="K30" s="66">
        <v>10</v>
      </c>
      <c r="L30" s="66">
        <v>11</v>
      </c>
      <c r="M30" s="66">
        <v>10</v>
      </c>
      <c r="N30" s="66">
        <v>14</v>
      </c>
      <c r="O30" s="66">
        <v>13</v>
      </c>
      <c r="P30" s="66">
        <v>11</v>
      </c>
      <c r="Q30" s="66">
        <v>11</v>
      </c>
      <c r="R30" s="66">
        <v>10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7.5359999999999996</v>
      </c>
      <c r="G31" s="87">
        <f t="shared" ref="G31:L31" si="6">G30*0.056</f>
        <v>0.61599999999999999</v>
      </c>
      <c r="H31" s="87">
        <f t="shared" si="6"/>
        <v>0.67200000000000004</v>
      </c>
      <c r="I31" s="87">
        <f t="shared" si="6"/>
        <v>0.72799999999999998</v>
      </c>
      <c r="J31" s="87">
        <f t="shared" si="6"/>
        <v>0.504</v>
      </c>
      <c r="K31" s="87">
        <f t="shared" si="6"/>
        <v>0.56000000000000005</v>
      </c>
      <c r="L31" s="87">
        <f t="shared" si="6"/>
        <v>0.61599999999999999</v>
      </c>
      <c r="M31" s="87">
        <f>M30*0.055</f>
        <v>0.55000000000000004</v>
      </c>
      <c r="N31" s="87">
        <f>N30*0.055</f>
        <v>0.77</v>
      </c>
      <c r="O31" s="87">
        <f>O30*0.056</f>
        <v>0.72799999999999998</v>
      </c>
      <c r="P31" s="87">
        <f>P30*0.056</f>
        <v>0.61599999999999999</v>
      </c>
      <c r="Q31" s="87">
        <f>Q30*0.056</f>
        <v>0.61599999999999999</v>
      </c>
      <c r="R31" s="87">
        <f>R30*0.056</f>
        <v>0.56000000000000005</v>
      </c>
      <c r="T31" s="81">
        <f>G31*1000/G30</f>
        <v>56</v>
      </c>
      <c r="U31" s="81">
        <f>H31*1000/H30</f>
        <v>56</v>
      </c>
      <c r="V31" s="81">
        <f t="shared" ref="V31:AE31" si="7">I31*1000/I30</f>
        <v>56</v>
      </c>
      <c r="W31" s="81">
        <f t="shared" si="7"/>
        <v>56</v>
      </c>
      <c r="X31" s="81">
        <f t="shared" si="7"/>
        <v>56</v>
      </c>
      <c r="Y31" s="81">
        <f>L31*1000/L30</f>
        <v>56</v>
      </c>
      <c r="Z31" s="81">
        <f t="shared" si="7"/>
        <v>55</v>
      </c>
      <c r="AA31" s="81">
        <f t="shared" si="7"/>
        <v>55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5850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1370</v>
      </c>
      <c r="G33" s="66">
        <v>110</v>
      </c>
      <c r="H33" s="66">
        <v>108</v>
      </c>
      <c r="I33" s="66">
        <v>102</v>
      </c>
      <c r="J33" s="66">
        <v>110</v>
      </c>
      <c r="K33" s="66">
        <v>115</v>
      </c>
      <c r="L33" s="66">
        <v>118</v>
      </c>
      <c r="M33" s="66">
        <v>122</v>
      </c>
      <c r="N33" s="66">
        <v>121</v>
      </c>
      <c r="O33" s="66">
        <v>125</v>
      </c>
      <c r="P33" s="66">
        <v>113</v>
      </c>
      <c r="Q33" s="66">
        <v>115</v>
      </c>
      <c r="R33" s="66">
        <v>111</v>
      </c>
      <c r="S33" s="77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15.490200000000002</v>
      </c>
      <c r="G34" s="87">
        <f>G33*0.011</f>
        <v>1.21</v>
      </c>
      <c r="H34" s="87">
        <f>H33*0.011</f>
        <v>1.1879999999999999</v>
      </c>
      <c r="I34" s="87">
        <f>I33*0.0115</f>
        <v>1.173</v>
      </c>
      <c r="J34" s="87">
        <f>J33*0.012</f>
        <v>1.32</v>
      </c>
      <c r="K34" s="87">
        <f>K33*0.012</f>
        <v>1.3800000000000001</v>
      </c>
      <c r="L34" s="87">
        <f>L33*0.0115</f>
        <v>1.357</v>
      </c>
      <c r="M34" s="87">
        <f>M33*0.0115</f>
        <v>1.403</v>
      </c>
      <c r="N34" s="87">
        <f>N33*0.0112</f>
        <v>1.3552</v>
      </c>
      <c r="O34" s="87">
        <f>O33*0.011</f>
        <v>1.375</v>
      </c>
      <c r="P34" s="87">
        <f>P33*0.011</f>
        <v>1.2429999999999999</v>
      </c>
      <c r="Q34" s="87">
        <f>Q33*0.011</f>
        <v>1.2649999999999999</v>
      </c>
      <c r="R34" s="87">
        <f>R33*0.011</f>
        <v>1.2209999999999999</v>
      </c>
      <c r="T34" s="81">
        <f>G34*1000/G33</f>
        <v>11</v>
      </c>
      <c r="U34" s="81">
        <f>H34*1000/H33</f>
        <v>11</v>
      </c>
      <c r="V34" s="81">
        <f t="shared" ref="V34:AE34" si="8">I34*1000/I33</f>
        <v>11.5</v>
      </c>
      <c r="W34" s="81">
        <f t="shared" si="8"/>
        <v>12</v>
      </c>
      <c r="X34" s="81">
        <f t="shared" si="8"/>
        <v>12.000000000000002</v>
      </c>
      <c r="Y34" s="81">
        <f>L34*1000/L33</f>
        <v>11.5</v>
      </c>
      <c r="Z34" s="81">
        <f t="shared" si="8"/>
        <v>11.5</v>
      </c>
      <c r="AA34" s="81">
        <f t="shared" si="8"/>
        <v>11.200000000000001</v>
      </c>
      <c r="AB34" s="81">
        <f t="shared" si="8"/>
        <v>11</v>
      </c>
      <c r="AC34" s="81">
        <f t="shared" si="8"/>
        <v>10.999999999999998</v>
      </c>
      <c r="AD34" s="81">
        <f t="shared" si="8"/>
        <v>11</v>
      </c>
      <c r="AE34" s="81">
        <f t="shared" si="8"/>
        <v>10.999999999999998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>H37*1000/H36</f>
        <v>#DIV/0!</v>
      </c>
      <c r="V37" s="81" t="e">
        <f t="shared" ref="V37:AE37" si="9">I37*1000/I36</f>
        <v>#DIV/0!</v>
      </c>
      <c r="W37" s="81" t="e">
        <f t="shared" si="9"/>
        <v>#DIV/0!</v>
      </c>
      <c r="X37" s="81" t="e">
        <f t="shared" si="9"/>
        <v>#DIV/0!</v>
      </c>
      <c r="Y37" s="81" t="e">
        <f>L37*1000/L36</f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>H42*1000/H41</f>
        <v>#DIV/0!</v>
      </c>
      <c r="V42" s="81" t="e">
        <f t="shared" ref="V42:AE42" si="10">I42*1000/I41</f>
        <v>#DIV/0!</v>
      </c>
      <c r="W42" s="81" t="e">
        <f t="shared" si="10"/>
        <v>#DIV/0!</v>
      </c>
      <c r="X42" s="81" t="e">
        <f t="shared" si="10"/>
        <v>#DIV/0!</v>
      </c>
      <c r="Y42" s="81" t="e">
        <f>L42*1000/L41</f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0" firstPageNumber="0" orientation="landscape" horizontalDpi="300" verticalDpi="300" r:id="rId1"/>
  <headerFooter alignWithMargins="0"/>
  <colBreaks count="1" manualBreakCount="1">
    <brk id="18" max="1048575" man="1"/>
  </colBreaks>
  <ignoredErrors>
    <ignoredError sqref="Q23 F17 F2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6" zoomScaleNormal="76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F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6.140625" customWidth="1"/>
    <col min="20" max="31" width="9.7109375" hidden="1" customWidth="1"/>
    <col min="32" max="32" width="0" hidden="1" customWidth="1"/>
  </cols>
  <sheetData>
    <row r="1" spans="1:31" x14ac:dyDescent="0.2">
      <c r="A1" s="144" t="s">
        <v>0</v>
      </c>
      <c r="B1" s="144"/>
      <c r="C1" s="144"/>
      <c r="D1" s="144"/>
      <c r="E1" s="1"/>
    </row>
    <row r="2" spans="1:31" x14ac:dyDescent="0.2">
      <c r="A2" s="144" t="s">
        <v>1</v>
      </c>
      <c r="B2" s="144"/>
      <c r="C2" s="144"/>
      <c r="D2" s="144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X6" s="81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87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134" t="s">
        <v>6</v>
      </c>
      <c r="F11" s="137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35">
        <f>Caravel!E12</f>
        <v>2025</v>
      </c>
      <c r="F12" s="13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136" t="s">
        <v>33</v>
      </c>
      <c r="F13" s="139">
        <f>Caravel!F13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8400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23313</v>
      </c>
      <c r="G15" s="66">
        <v>1970</v>
      </c>
      <c r="H15" s="66">
        <v>2055</v>
      </c>
      <c r="I15" s="66">
        <v>1933</v>
      </c>
      <c r="J15" s="66">
        <v>1898</v>
      </c>
      <c r="K15" s="66">
        <v>1860</v>
      </c>
      <c r="L15" s="66">
        <v>1840</v>
      </c>
      <c r="M15" s="66">
        <v>1820</v>
      </c>
      <c r="N15" s="66">
        <v>2026</v>
      </c>
      <c r="O15" s="66">
        <v>2022</v>
      </c>
      <c r="P15" s="66">
        <v>1986</v>
      </c>
      <c r="Q15" s="66">
        <v>1960</v>
      </c>
      <c r="R15" s="66">
        <v>1943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54.199350000000003</v>
      </c>
      <c r="G16" s="87">
        <f>G15*0.00226</f>
        <v>4.4521999999999995</v>
      </c>
      <c r="H16" s="87">
        <f>H15*0.00235</f>
        <v>4.82925</v>
      </c>
      <c r="I16" s="87">
        <f>I15*0.00235</f>
        <v>4.5425500000000003</v>
      </c>
      <c r="J16" s="87">
        <f>J15*0.00235</f>
        <v>4.4603000000000002</v>
      </c>
      <c r="K16" s="87">
        <f>K15*0.00234</f>
        <v>4.3524000000000003</v>
      </c>
      <c r="L16" s="87">
        <f>L15*0.00233</f>
        <v>4.2872000000000003</v>
      </c>
      <c r="M16" s="87">
        <f>M15*0.00232</f>
        <v>4.2224000000000004</v>
      </c>
      <c r="N16" s="87">
        <f>N15*0.00232</f>
        <v>4.7003199999999996</v>
      </c>
      <c r="O16" s="87">
        <f>O15*0.00231</f>
        <v>4.67082</v>
      </c>
      <c r="P16" s="87">
        <f>P15*0.00232</f>
        <v>4.6075200000000001</v>
      </c>
      <c r="Q16" s="87">
        <f>Q15*0.00232</f>
        <v>4.5472000000000001</v>
      </c>
      <c r="R16" s="87">
        <f>R15*0.00233</f>
        <v>4.52719</v>
      </c>
      <c r="T16" s="81">
        <f t="shared" ref="T16:AE16" si="0">G16*1000/G15</f>
        <v>2.2599999999999998</v>
      </c>
      <c r="U16" s="81">
        <f t="shared" si="0"/>
        <v>2.35</v>
      </c>
      <c r="V16" s="81">
        <f t="shared" si="0"/>
        <v>2.35</v>
      </c>
      <c r="W16" s="81">
        <f t="shared" si="0"/>
        <v>2.35</v>
      </c>
      <c r="X16" s="81">
        <f t="shared" si="0"/>
        <v>2.3400000000000003</v>
      </c>
      <c r="Y16" s="81">
        <f t="shared" si="0"/>
        <v>2.3300000000000005</v>
      </c>
      <c r="Z16" s="81">
        <f t="shared" si="0"/>
        <v>2.3200000000000003</v>
      </c>
      <c r="AA16" s="81">
        <f t="shared" si="0"/>
        <v>2.3199999999999998</v>
      </c>
      <c r="AB16" s="81">
        <f t="shared" si="0"/>
        <v>2.31</v>
      </c>
      <c r="AC16" s="81">
        <f t="shared" si="0"/>
        <v>2.3200000000000003</v>
      </c>
      <c r="AD16" s="81">
        <f t="shared" si="0"/>
        <v>2.3199999999999998</v>
      </c>
      <c r="AE16" s="81">
        <f t="shared" si="0"/>
        <v>2.3299999999999996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859.75</v>
      </c>
      <c r="G17" s="75">
        <v>780</v>
      </c>
      <c r="H17" s="75">
        <v>785</v>
      </c>
      <c r="I17" s="75">
        <v>907</v>
      </c>
      <c r="J17" s="75">
        <v>922</v>
      </c>
      <c r="K17" s="75">
        <v>925</v>
      </c>
      <c r="L17" s="75">
        <v>930</v>
      </c>
      <c r="M17" s="75">
        <v>944</v>
      </c>
      <c r="N17" s="75">
        <v>938</v>
      </c>
      <c r="O17" s="75">
        <v>952</v>
      </c>
      <c r="P17" s="75">
        <v>730</v>
      </c>
      <c r="Q17" s="75">
        <v>750</v>
      </c>
      <c r="R17" s="75">
        <v>754</v>
      </c>
      <c r="S17" s="7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7.7146249999999998</v>
      </c>
      <c r="G18" s="87">
        <f>((G17*13)/16)/1000</f>
        <v>0.63375000000000004</v>
      </c>
      <c r="H18" s="87">
        <f>((H17*13)/16)/1000</f>
        <v>0.6378125</v>
      </c>
      <c r="I18" s="87">
        <f>((I17*13)/16)/1000</f>
        <v>0.73693750000000002</v>
      </c>
      <c r="J18" s="87">
        <f>((J17*13)/16)/1000</f>
        <v>0.74912500000000004</v>
      </c>
      <c r="K18" s="87">
        <f>((K17*12)/16)/1000</f>
        <v>0.69374999999999998</v>
      </c>
      <c r="L18" s="87">
        <f>((L17*11)/16)/1000</f>
        <v>0.63937500000000003</v>
      </c>
      <c r="M18" s="87">
        <f>((M17*11)/16)/1000</f>
        <v>0.64900000000000002</v>
      </c>
      <c r="N18" s="87">
        <f>((N17*11)/16)/1000</f>
        <v>0.64487499999999998</v>
      </c>
      <c r="O18" s="87">
        <f>((O17*11)/16)/1000</f>
        <v>0.65449999999999997</v>
      </c>
      <c r="P18" s="87">
        <f>((P17*12)/16)/1000</f>
        <v>0.54749999999999999</v>
      </c>
      <c r="Q18" s="87">
        <f>((Q17*12)/16)/1000</f>
        <v>0.5625</v>
      </c>
      <c r="R18" s="87">
        <f>((R17*12)/16)/1000</f>
        <v>0.5655</v>
      </c>
      <c r="T18" s="81">
        <f t="shared" ref="T18:AE18" si="1">(G18*1000/G17)*16</f>
        <v>13</v>
      </c>
      <c r="U18" s="81">
        <f t="shared" si="1"/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11</v>
      </c>
      <c r="AA18" s="81">
        <f t="shared" si="1"/>
        <v>11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240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46</v>
      </c>
      <c r="G20" s="66">
        <v>5</v>
      </c>
      <c r="H20" s="66">
        <v>4</v>
      </c>
      <c r="I20" s="66">
        <v>3</v>
      </c>
      <c r="J20" s="66">
        <v>4</v>
      </c>
      <c r="K20" s="66">
        <v>3</v>
      </c>
      <c r="L20" s="66">
        <v>3</v>
      </c>
      <c r="M20" s="66">
        <v>3</v>
      </c>
      <c r="N20" s="66">
        <v>5</v>
      </c>
      <c r="O20" s="66">
        <v>4</v>
      </c>
      <c r="P20" s="66">
        <v>3</v>
      </c>
      <c r="Q20" s="66">
        <v>5</v>
      </c>
      <c r="R20" s="66">
        <v>4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8.2380000000000013</v>
      </c>
      <c r="G21" s="87">
        <f>G20*0.176</f>
        <v>0.87999999999999989</v>
      </c>
      <c r="H21" s="87">
        <f>H20*0.177</f>
        <v>0.70799999999999996</v>
      </c>
      <c r="I21" s="87">
        <f>I20*0.178</f>
        <v>0.53400000000000003</v>
      </c>
      <c r="J21" s="87">
        <f>J20*0.179</f>
        <v>0.71599999999999997</v>
      </c>
      <c r="K21" s="87">
        <f t="shared" ref="K21:P21" si="2">K20*0.18</f>
        <v>0.54</v>
      </c>
      <c r="L21" s="87">
        <f t="shared" si="2"/>
        <v>0.54</v>
      </c>
      <c r="M21" s="87">
        <f t="shared" si="2"/>
        <v>0.54</v>
      </c>
      <c r="N21" s="87">
        <f t="shared" si="2"/>
        <v>0.89999999999999991</v>
      </c>
      <c r="O21" s="87">
        <f t="shared" si="2"/>
        <v>0.72</v>
      </c>
      <c r="P21" s="87">
        <f t="shared" si="2"/>
        <v>0.54</v>
      </c>
      <c r="Q21" s="87">
        <f>Q20*0.18</f>
        <v>0.89999999999999991</v>
      </c>
      <c r="R21" s="87">
        <f>R20*0.18</f>
        <v>0.72</v>
      </c>
      <c r="T21" s="81">
        <f t="shared" ref="T21:AE21" si="3">G21*1000/G20</f>
        <v>175.99999999999997</v>
      </c>
      <c r="U21" s="81">
        <f t="shared" si="3"/>
        <v>177</v>
      </c>
      <c r="V21" s="81">
        <f t="shared" si="3"/>
        <v>178</v>
      </c>
      <c r="W21" s="81">
        <f t="shared" si="3"/>
        <v>179</v>
      </c>
      <c r="X21" s="81">
        <f t="shared" si="3"/>
        <v>180</v>
      </c>
      <c r="Y21" s="81">
        <f t="shared" si="3"/>
        <v>180</v>
      </c>
      <c r="Z21" s="81">
        <f t="shared" si="3"/>
        <v>180</v>
      </c>
      <c r="AA21" s="81">
        <f t="shared" si="3"/>
        <v>179.99999999999997</v>
      </c>
      <c r="AB21" s="81">
        <f t="shared" si="3"/>
        <v>180</v>
      </c>
      <c r="AC21" s="81">
        <f t="shared" si="3"/>
        <v>180</v>
      </c>
      <c r="AD21" s="81">
        <f t="shared" si="3"/>
        <v>179.99999999999997</v>
      </c>
      <c r="AE21" s="81">
        <f t="shared" si="3"/>
        <v>180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77.166666666666671</v>
      </c>
      <c r="G22" s="66">
        <v>96</v>
      </c>
      <c r="H22" s="66">
        <v>98</v>
      </c>
      <c r="I22" s="66">
        <v>89</v>
      </c>
      <c r="J22" s="66">
        <v>84</v>
      </c>
      <c r="K22" s="66">
        <v>82</v>
      </c>
      <c r="L22" s="66">
        <v>78</v>
      </c>
      <c r="M22" s="66">
        <v>75</v>
      </c>
      <c r="N22" s="66">
        <v>73</v>
      </c>
      <c r="O22" s="66">
        <v>70</v>
      </c>
      <c r="P22" s="66">
        <v>65</v>
      </c>
      <c r="Q22" s="66">
        <v>60</v>
      </c>
      <c r="R22" s="66">
        <v>56</v>
      </c>
      <c r="S22" s="77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313.93453999999997</v>
      </c>
      <c r="G23" s="87">
        <f>G22*11.31*31/1000</f>
        <v>33.658559999999994</v>
      </c>
      <c r="H23" s="87">
        <f>H22*10.11*29/1000</f>
        <v>28.732620000000001</v>
      </c>
      <c r="I23" s="87">
        <f>I22*11*31/1000</f>
        <v>30.349</v>
      </c>
      <c r="J23" s="87">
        <f>J22*11.1*30/1000</f>
        <v>27.972000000000001</v>
      </c>
      <c r="K23" s="87">
        <f>K22*11.2*31/1000</f>
        <v>28.470399999999998</v>
      </c>
      <c r="L23" s="87">
        <f>L22*11.25*30/1000</f>
        <v>26.324999999999999</v>
      </c>
      <c r="M23" s="87">
        <f>M22*11.3*31/1000</f>
        <v>26.272500000000001</v>
      </c>
      <c r="N23" s="87">
        <f>N22*11.32*31/1000</f>
        <v>25.617159999999998</v>
      </c>
      <c r="O23" s="87">
        <f>O22*11.33*30/1000</f>
        <v>23.792999999999999</v>
      </c>
      <c r="P23" s="87">
        <f>P22*11.3*31/1000</f>
        <v>22.769500000000001</v>
      </c>
      <c r="Q23" s="87">
        <f>Q22*11.31*30/1000</f>
        <v>20.358000000000001</v>
      </c>
      <c r="R23" s="87">
        <f>R22*11.3*31/1000</f>
        <v>19.616800000000001</v>
      </c>
      <c r="T23" s="81">
        <f>(G23*1000/G22)/31</f>
        <v>11.309999999999999</v>
      </c>
      <c r="U23" s="81">
        <f>(H23*1000/H22)/28</f>
        <v>10.471071428571429</v>
      </c>
      <c r="V23" s="81">
        <f>(I23*1000/I22)/31</f>
        <v>11</v>
      </c>
      <c r="W23" s="81">
        <f>(J23*1000/J22)/30</f>
        <v>11.1</v>
      </c>
      <c r="X23" s="81">
        <f>(K23*1000/K22)/31</f>
        <v>11.2</v>
      </c>
      <c r="Y23" s="81">
        <f>(L23*1000/L22)/30</f>
        <v>11.25</v>
      </c>
      <c r="Z23" s="81">
        <f>(M23*1000/M22)/31</f>
        <v>11.3</v>
      </c>
      <c r="AA23" s="81">
        <f>(N23*1000/N22)/31</f>
        <v>11.32</v>
      </c>
      <c r="AB23" s="81">
        <f>(O23*1000/O22)/30</f>
        <v>11.33</v>
      </c>
      <c r="AC23" s="81">
        <f>(P23*1000/P22)/31</f>
        <v>11.3</v>
      </c>
      <c r="AD23" s="81">
        <f>(Q23*1000/Q22)/30</f>
        <v>11.31</v>
      </c>
      <c r="AE23" s="81">
        <f>(R23*1000/R22)/31</f>
        <v>11.300000000000002</v>
      </c>
    </row>
    <row r="24" spans="2:31" ht="16.5" x14ac:dyDescent="0.3">
      <c r="B24" s="76"/>
      <c r="C24" s="65" t="s">
        <v>35</v>
      </c>
      <c r="D24" s="15" t="s">
        <v>36</v>
      </c>
      <c r="E24" s="66">
        <v>490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217</v>
      </c>
      <c r="G25" s="66">
        <v>20</v>
      </c>
      <c r="H25" s="66">
        <v>18</v>
      </c>
      <c r="I25" s="66">
        <v>16</v>
      </c>
      <c r="J25" s="66">
        <v>14</v>
      </c>
      <c r="K25" s="66">
        <v>15</v>
      </c>
      <c r="L25" s="66">
        <v>17</v>
      </c>
      <c r="M25" s="66">
        <v>14</v>
      </c>
      <c r="N25" s="66">
        <v>16</v>
      </c>
      <c r="O25" s="66">
        <v>19</v>
      </c>
      <c r="P25" s="66">
        <v>18</v>
      </c>
      <c r="Q25" s="66">
        <v>24</v>
      </c>
      <c r="R25" s="66">
        <v>26</v>
      </c>
      <c r="S25" s="7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3.9059999999999997</v>
      </c>
      <c r="G26" s="87">
        <f t="shared" ref="G26:L26" si="4">G25*0.018</f>
        <v>0.36</v>
      </c>
      <c r="H26" s="87">
        <f t="shared" si="4"/>
        <v>0.32399999999999995</v>
      </c>
      <c r="I26" s="87">
        <f t="shared" si="4"/>
        <v>0.28799999999999998</v>
      </c>
      <c r="J26" s="87">
        <f t="shared" si="4"/>
        <v>0.252</v>
      </c>
      <c r="K26" s="87">
        <f t="shared" si="4"/>
        <v>0.26999999999999996</v>
      </c>
      <c r="L26" s="87">
        <f t="shared" si="4"/>
        <v>0.30599999999999999</v>
      </c>
      <c r="M26" s="87">
        <f t="shared" ref="M26:R26" si="5">M25*0.018</f>
        <v>0.252</v>
      </c>
      <c r="N26" s="87">
        <f t="shared" si="5"/>
        <v>0.28799999999999998</v>
      </c>
      <c r="O26" s="87">
        <f t="shared" si="5"/>
        <v>0.34199999999999997</v>
      </c>
      <c r="P26" s="87">
        <f t="shared" si="5"/>
        <v>0.32399999999999995</v>
      </c>
      <c r="Q26" s="87">
        <f t="shared" si="5"/>
        <v>0.43199999999999994</v>
      </c>
      <c r="R26" s="87">
        <f t="shared" si="5"/>
        <v>0.46799999999999997</v>
      </c>
      <c r="T26" s="81">
        <f t="shared" ref="T26:AE26" si="6">G26*1000/G25</f>
        <v>18</v>
      </c>
      <c r="U26" s="81">
        <f t="shared" si="6"/>
        <v>17.999999999999996</v>
      </c>
      <c r="V26" s="81">
        <f t="shared" si="6"/>
        <v>18</v>
      </c>
      <c r="W26" s="81">
        <f t="shared" si="6"/>
        <v>18</v>
      </c>
      <c r="X26" s="81">
        <f t="shared" si="6"/>
        <v>17.999999999999996</v>
      </c>
      <c r="Y26" s="81">
        <f t="shared" si="6"/>
        <v>18</v>
      </c>
      <c r="Z26" s="81">
        <f t="shared" si="6"/>
        <v>18</v>
      </c>
      <c r="AA26" s="81">
        <f t="shared" si="6"/>
        <v>18</v>
      </c>
      <c r="AB26" s="81">
        <f t="shared" si="6"/>
        <v>17.999999999999996</v>
      </c>
      <c r="AC26" s="81">
        <f t="shared" si="6"/>
        <v>17.999999999999996</v>
      </c>
      <c r="AD26" s="81">
        <f t="shared" si="6"/>
        <v>17.999999999999996</v>
      </c>
      <c r="AE26" s="81">
        <f t="shared" si="6"/>
        <v>18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750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291</v>
      </c>
      <c r="G30" s="66">
        <v>26</v>
      </c>
      <c r="H30" s="66">
        <v>25</v>
      </c>
      <c r="I30" s="66">
        <v>23</v>
      </c>
      <c r="J30" s="66">
        <v>20</v>
      </c>
      <c r="K30" s="66">
        <v>22</v>
      </c>
      <c r="L30" s="66">
        <v>24</v>
      </c>
      <c r="M30" s="66">
        <v>21</v>
      </c>
      <c r="N30" s="66">
        <v>20</v>
      </c>
      <c r="O30" s="66">
        <v>25</v>
      </c>
      <c r="P30" s="66">
        <v>25</v>
      </c>
      <c r="Q30" s="66">
        <v>28</v>
      </c>
      <c r="R30" s="66">
        <v>32</v>
      </c>
      <c r="S30" s="77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16.677000000000003</v>
      </c>
      <c r="G31" s="87">
        <f>G30*0.057</f>
        <v>1.482</v>
      </c>
      <c r="H31" s="87">
        <f>H30*0.058</f>
        <v>1.4500000000000002</v>
      </c>
      <c r="I31" s="87">
        <f>I30*0.058</f>
        <v>1.3340000000000001</v>
      </c>
      <c r="J31" s="87">
        <f>J30*0.058</f>
        <v>1.1600000000000001</v>
      </c>
      <c r="K31" s="87">
        <f>K30*0.058</f>
        <v>1.276</v>
      </c>
      <c r="L31" s="87">
        <f t="shared" ref="L31:R31" si="7">L30*0.057</f>
        <v>1.3680000000000001</v>
      </c>
      <c r="M31" s="87">
        <f t="shared" si="7"/>
        <v>1.1970000000000001</v>
      </c>
      <c r="N31" s="87">
        <f t="shared" si="7"/>
        <v>1.1400000000000001</v>
      </c>
      <c r="O31" s="87">
        <f t="shared" si="7"/>
        <v>1.425</v>
      </c>
      <c r="P31" s="87">
        <f t="shared" si="7"/>
        <v>1.425</v>
      </c>
      <c r="Q31" s="87">
        <f t="shared" si="7"/>
        <v>1.5960000000000001</v>
      </c>
      <c r="R31" s="87">
        <f t="shared" si="7"/>
        <v>1.8240000000000001</v>
      </c>
      <c r="T31" s="81">
        <f t="shared" ref="T31:AE31" si="8">G31*1000/G30</f>
        <v>57</v>
      </c>
      <c r="U31" s="81">
        <f t="shared" si="8"/>
        <v>58.000000000000007</v>
      </c>
      <c r="V31" s="81">
        <f t="shared" si="8"/>
        <v>58</v>
      </c>
      <c r="W31" s="81">
        <f t="shared" si="8"/>
        <v>58.000000000000014</v>
      </c>
      <c r="X31" s="81">
        <f t="shared" si="8"/>
        <v>58</v>
      </c>
      <c r="Y31" s="81">
        <f t="shared" si="8"/>
        <v>57</v>
      </c>
      <c r="Z31" s="81">
        <f t="shared" si="8"/>
        <v>57</v>
      </c>
      <c r="AA31" s="81">
        <f t="shared" si="8"/>
        <v>57.000000000000014</v>
      </c>
      <c r="AB31" s="81">
        <f t="shared" si="8"/>
        <v>57</v>
      </c>
      <c r="AC31" s="81">
        <f t="shared" si="8"/>
        <v>57</v>
      </c>
      <c r="AD31" s="81">
        <f t="shared" si="8"/>
        <v>57</v>
      </c>
      <c r="AE31" s="81">
        <f t="shared" si="8"/>
        <v>57</v>
      </c>
    </row>
    <row r="32" spans="2:31" ht="16.5" x14ac:dyDescent="0.3">
      <c r="B32" s="76"/>
      <c r="C32" s="65" t="s">
        <v>35</v>
      </c>
      <c r="D32" s="15" t="s">
        <v>36</v>
      </c>
      <c r="E32" s="66">
        <v>410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142</v>
      </c>
      <c r="G33" s="66">
        <v>10</v>
      </c>
      <c r="H33" s="66">
        <v>14</v>
      </c>
      <c r="I33" s="66">
        <v>8</v>
      </c>
      <c r="J33" s="66">
        <v>12</v>
      </c>
      <c r="K33" s="66">
        <v>15</v>
      </c>
      <c r="L33" s="66">
        <v>17</v>
      </c>
      <c r="M33" s="66">
        <v>15</v>
      </c>
      <c r="N33" s="66">
        <v>13</v>
      </c>
      <c r="O33" s="66">
        <v>15</v>
      </c>
      <c r="P33" s="66">
        <v>10</v>
      </c>
      <c r="Q33" s="66">
        <v>7</v>
      </c>
      <c r="R33" s="66">
        <v>6</v>
      </c>
      <c r="S33" s="77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1.986</v>
      </c>
      <c r="G34" s="87">
        <f t="shared" ref="G34:L34" si="9">G33*0.014</f>
        <v>0.14000000000000001</v>
      </c>
      <c r="H34" s="87">
        <f t="shared" si="9"/>
        <v>0.19600000000000001</v>
      </c>
      <c r="I34" s="87">
        <f t="shared" si="9"/>
        <v>0.112</v>
      </c>
      <c r="J34" s="87">
        <f t="shared" si="9"/>
        <v>0.16800000000000001</v>
      </c>
      <c r="K34" s="87">
        <f t="shared" si="9"/>
        <v>0.21</v>
      </c>
      <c r="L34" s="87">
        <f t="shared" si="9"/>
        <v>0.23800000000000002</v>
      </c>
      <c r="M34" s="87">
        <f>M33*0.014</f>
        <v>0.21</v>
      </c>
      <c r="N34" s="87">
        <f>N33*0.014</f>
        <v>0.182</v>
      </c>
      <c r="O34" s="87">
        <f>O33*0.014</f>
        <v>0.21</v>
      </c>
      <c r="P34" s="87">
        <f>P33*0.0138</f>
        <v>0.13800000000000001</v>
      </c>
      <c r="Q34" s="87">
        <f>Q33*0.014</f>
        <v>9.8000000000000004E-2</v>
      </c>
      <c r="R34" s="87">
        <f>R33*0.014</f>
        <v>8.4000000000000005E-2</v>
      </c>
      <c r="T34" s="81">
        <f t="shared" ref="T34:AE34" si="10">G34*1000/G33</f>
        <v>14</v>
      </c>
      <c r="U34" s="81">
        <f t="shared" si="10"/>
        <v>14</v>
      </c>
      <c r="V34" s="81">
        <f t="shared" si="10"/>
        <v>14</v>
      </c>
      <c r="W34" s="81">
        <f t="shared" si="10"/>
        <v>14</v>
      </c>
      <c r="X34" s="81">
        <f t="shared" si="10"/>
        <v>14</v>
      </c>
      <c r="Y34" s="81">
        <f t="shared" si="10"/>
        <v>14.000000000000002</v>
      </c>
      <c r="Z34" s="81">
        <f t="shared" si="10"/>
        <v>14</v>
      </c>
      <c r="AA34" s="81">
        <f t="shared" si="10"/>
        <v>14</v>
      </c>
      <c r="AB34" s="81">
        <f t="shared" si="10"/>
        <v>14</v>
      </c>
      <c r="AC34" s="81">
        <f t="shared" si="10"/>
        <v>13.8</v>
      </c>
      <c r="AD34" s="81">
        <f t="shared" si="10"/>
        <v>14</v>
      </c>
      <c r="AE34" s="81">
        <f t="shared" si="10"/>
        <v>14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/>
      <c r="U37" s="81"/>
      <c r="V37" s="81"/>
      <c r="W37" s="81"/>
      <c r="X37" s="81"/>
      <c r="Y37" s="81"/>
      <c r="Z37" s="81" t="e">
        <f t="shared" ref="Z37:AE37" si="11">M37*1000/M36</f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 t="shared" ref="T42:AE42" si="12">G42*1000/G41</f>
        <v>#DIV/0!</v>
      </c>
      <c r="U42" s="81" t="e">
        <f t="shared" si="12"/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62" firstPageNumber="0" orientation="landscape" horizontalDpi="300" verticalDpi="300" r:id="rId1"/>
  <headerFooter alignWithMargins="0"/>
  <colBreaks count="1" manualBreakCount="1">
    <brk id="18" max="1048575" man="1"/>
  </colBreaks>
  <ignoredErrors>
    <ignoredError sqref="P34 O16 Q23 F17 F2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8" zoomScaleNormal="78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H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4" customWidth="1"/>
    <col min="20" max="31" width="9.7109375" hidden="1" customWidth="1"/>
    <col min="32" max="34" width="0" hidden="1" customWidth="1"/>
  </cols>
  <sheetData>
    <row r="1" spans="1:31" x14ac:dyDescent="0.2">
      <c r="A1" s="144" t="s">
        <v>0</v>
      </c>
      <c r="B1" s="144"/>
      <c r="C1" s="144"/>
      <c r="D1" s="144"/>
      <c r="E1" s="1"/>
    </row>
    <row r="2" spans="1:31" x14ac:dyDescent="0.2">
      <c r="A2" s="144" t="s">
        <v>1</v>
      </c>
      <c r="B2" s="144"/>
      <c r="C2" s="144"/>
      <c r="D2" s="144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106"/>
      <c r="I7" s="46"/>
      <c r="J7" s="45"/>
      <c r="K7" s="48" t="str">
        <f>Caravel!K7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88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2025</v>
      </c>
      <c r="F12" s="57" t="s">
        <v>11</v>
      </c>
      <c r="G12" s="57" t="s">
        <v>12</v>
      </c>
      <c r="H12" s="108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340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401</v>
      </c>
      <c r="G15" s="66">
        <v>35</v>
      </c>
      <c r="H15" s="66">
        <v>37</v>
      </c>
      <c r="I15" s="66">
        <v>39</v>
      </c>
      <c r="J15" s="66">
        <v>32</v>
      </c>
      <c r="K15" s="66">
        <v>30</v>
      </c>
      <c r="L15" s="66">
        <v>29</v>
      </c>
      <c r="M15" s="66">
        <v>28</v>
      </c>
      <c r="N15" s="66">
        <v>34</v>
      </c>
      <c r="O15" s="66">
        <v>32</v>
      </c>
      <c r="P15" s="66">
        <v>34</v>
      </c>
      <c r="Q15" s="66">
        <v>35</v>
      </c>
      <c r="R15" s="66">
        <v>36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0.85119999999999996</v>
      </c>
      <c r="G16" s="87">
        <f>G15*0.0022</f>
        <v>7.6999999999999999E-2</v>
      </c>
      <c r="H16" s="87">
        <f>H15*0.0022</f>
        <v>8.14E-2</v>
      </c>
      <c r="I16" s="87">
        <f>I15*0.0022</f>
        <v>8.5800000000000001E-2</v>
      </c>
      <c r="J16" s="87">
        <f>J15*0.0022</f>
        <v>7.0400000000000004E-2</v>
      </c>
      <c r="K16" s="87">
        <f>K15*0.0021</f>
        <v>6.3E-2</v>
      </c>
      <c r="L16" s="87">
        <f>L15*0.002</f>
        <v>5.8000000000000003E-2</v>
      </c>
      <c r="M16" s="87">
        <f>M15*0.002</f>
        <v>5.6000000000000001E-2</v>
      </c>
      <c r="N16" s="87">
        <f>N15*0.002</f>
        <v>6.8000000000000005E-2</v>
      </c>
      <c r="O16" s="87">
        <f>O15*0.002</f>
        <v>6.4000000000000001E-2</v>
      </c>
      <c r="P16" s="87">
        <f>P15*0.0021</f>
        <v>7.1399999999999991E-2</v>
      </c>
      <c r="Q16" s="87">
        <f>Q15*0.0022</f>
        <v>7.6999999999999999E-2</v>
      </c>
      <c r="R16" s="87">
        <f>R15*0.0022</f>
        <v>7.9200000000000007E-2</v>
      </c>
      <c r="T16" s="81">
        <f>G16*1000/G15</f>
        <v>2.2000000000000002</v>
      </c>
      <c r="U16" s="81">
        <f t="shared" ref="U16:AE16" si="0">H16*1000/H15</f>
        <v>2.2000000000000002</v>
      </c>
      <c r="V16" s="81">
        <f t="shared" si="0"/>
        <v>2.1999999999999997</v>
      </c>
      <c r="W16" s="81">
        <f t="shared" si="0"/>
        <v>2.2000000000000002</v>
      </c>
      <c r="X16" s="81">
        <f t="shared" si="0"/>
        <v>2.1</v>
      </c>
      <c r="Y16" s="81">
        <f t="shared" si="0"/>
        <v>2</v>
      </c>
      <c r="Z16" s="81">
        <f t="shared" si="0"/>
        <v>2</v>
      </c>
      <c r="AA16" s="81">
        <f t="shared" si="0"/>
        <v>2</v>
      </c>
      <c r="AB16" s="81">
        <f t="shared" si="0"/>
        <v>2</v>
      </c>
      <c r="AC16" s="81">
        <f t="shared" si="0"/>
        <v>2.0999999999999996</v>
      </c>
      <c r="AD16" s="81">
        <f t="shared" si="0"/>
        <v>2.2000000000000002</v>
      </c>
      <c r="AE16" s="81">
        <f t="shared" si="0"/>
        <v>2.2000000000000002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127.66666666666667</v>
      </c>
      <c r="G17" s="75">
        <v>118</v>
      </c>
      <c r="H17" s="75">
        <v>116</v>
      </c>
      <c r="I17" s="75">
        <v>139</v>
      </c>
      <c r="J17" s="75">
        <v>130</v>
      </c>
      <c r="K17" s="75">
        <v>125</v>
      </c>
      <c r="L17" s="75">
        <v>120</v>
      </c>
      <c r="M17" s="75">
        <v>118</v>
      </c>
      <c r="N17" s="75">
        <v>142</v>
      </c>
      <c r="O17" s="75">
        <v>138</v>
      </c>
      <c r="P17" s="75">
        <v>125</v>
      </c>
      <c r="Q17" s="75">
        <v>132</v>
      </c>
      <c r="R17" s="75">
        <v>129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0.60631250000000003</v>
      </c>
      <c r="G18" s="87">
        <f>((G17*7)/16)/1000</f>
        <v>5.1624999999999997E-2</v>
      </c>
      <c r="H18" s="87">
        <f>((H17*7)/16)/1000</f>
        <v>5.0750000000000003E-2</v>
      </c>
      <c r="I18" s="87">
        <f>((I17*7)/16)/1000</f>
        <v>6.0812499999999999E-2</v>
      </c>
      <c r="J18" s="87">
        <f>((J17*7)/16)/1000</f>
        <v>5.6875000000000002E-2</v>
      </c>
      <c r="K18" s="87">
        <f>((K17*6)/16)/1000</f>
        <v>4.6875E-2</v>
      </c>
      <c r="L18" s="87">
        <f>((L17*5)/16)/1000</f>
        <v>3.7499999999999999E-2</v>
      </c>
      <c r="M18" s="87">
        <f>((M17*5)/16)/1000</f>
        <v>3.6874999999999998E-2</v>
      </c>
      <c r="N18" s="87">
        <f>((N17*5)/16)/1000</f>
        <v>4.4374999999999998E-2</v>
      </c>
      <c r="O18" s="87">
        <f>((O17*6)/16)/1000</f>
        <v>5.1749999999999997E-2</v>
      </c>
      <c r="P18" s="87">
        <f>((P17*7)/16)/1000</f>
        <v>5.46875E-2</v>
      </c>
      <c r="Q18" s="87">
        <f>((Q17*7)/16)/1000</f>
        <v>5.7750000000000003E-2</v>
      </c>
      <c r="R18" s="87">
        <f>((R17*7)/16)/1000</f>
        <v>5.6437500000000002E-2</v>
      </c>
      <c r="T18" s="81">
        <f>(G18*1000/G17)*16</f>
        <v>7</v>
      </c>
      <c r="U18" s="81">
        <f t="shared" ref="U18:AE18" si="1">(H18*1000/H17)*16</f>
        <v>7</v>
      </c>
      <c r="V18" s="81">
        <f t="shared" si="1"/>
        <v>7</v>
      </c>
      <c r="W18" s="81">
        <f t="shared" si="1"/>
        <v>7</v>
      </c>
      <c r="X18" s="81">
        <f t="shared" si="1"/>
        <v>6</v>
      </c>
      <c r="Y18" s="81">
        <f t="shared" si="1"/>
        <v>5</v>
      </c>
      <c r="Z18" s="81">
        <f t="shared" si="1"/>
        <v>5</v>
      </c>
      <c r="AA18" s="81">
        <f t="shared" si="1"/>
        <v>5</v>
      </c>
      <c r="AB18" s="81">
        <f t="shared" si="1"/>
        <v>6</v>
      </c>
      <c r="AC18" s="81">
        <f t="shared" si="1"/>
        <v>7</v>
      </c>
      <c r="AD18" s="81">
        <f t="shared" si="1"/>
        <v>7</v>
      </c>
      <c r="AE18" s="81">
        <f t="shared" si="1"/>
        <v>7</v>
      </c>
    </row>
    <row r="19" spans="2:31" ht="16.5" x14ac:dyDescent="0.3">
      <c r="B19" s="76"/>
      <c r="C19" s="65" t="s">
        <v>35</v>
      </c>
      <c r="D19" s="15" t="s">
        <v>36</v>
      </c>
      <c r="E19" s="66">
        <v>1850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379</v>
      </c>
      <c r="G20" s="66">
        <v>33</v>
      </c>
      <c r="H20" s="66">
        <v>34</v>
      </c>
      <c r="I20" s="66">
        <v>28</v>
      </c>
      <c r="J20" s="66">
        <v>31</v>
      </c>
      <c r="K20" s="66">
        <v>33</v>
      </c>
      <c r="L20" s="66">
        <v>34</v>
      </c>
      <c r="M20" s="66">
        <v>33</v>
      </c>
      <c r="N20" s="66">
        <v>34</v>
      </c>
      <c r="O20" s="66">
        <v>32</v>
      </c>
      <c r="P20" s="66">
        <v>30</v>
      </c>
      <c r="Q20" s="66">
        <v>28</v>
      </c>
      <c r="R20" s="66">
        <v>29</v>
      </c>
      <c r="S20" s="77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51.643000000000008</v>
      </c>
      <c r="G21" s="87">
        <f>G20*0.137</f>
        <v>4.5210000000000008</v>
      </c>
      <c r="H21" s="87">
        <f>H20*0.133</f>
        <v>4.5220000000000002</v>
      </c>
      <c r="I21" s="87">
        <f>I20*0.135</f>
        <v>3.7800000000000002</v>
      </c>
      <c r="J21" s="87">
        <f>J20*0.136</f>
        <v>4.2160000000000002</v>
      </c>
      <c r="K21" s="87">
        <f t="shared" ref="K21:P21" si="2">K20*0.137</f>
        <v>4.5210000000000008</v>
      </c>
      <c r="L21" s="87">
        <f t="shared" si="2"/>
        <v>4.6580000000000004</v>
      </c>
      <c r="M21" s="87">
        <f t="shared" si="2"/>
        <v>4.5210000000000008</v>
      </c>
      <c r="N21" s="87">
        <f t="shared" si="2"/>
        <v>4.6580000000000004</v>
      </c>
      <c r="O21" s="87">
        <f t="shared" si="2"/>
        <v>4.3840000000000003</v>
      </c>
      <c r="P21" s="87">
        <f t="shared" si="2"/>
        <v>4.1100000000000003</v>
      </c>
      <c r="Q21" s="87">
        <f>Q20*0.136</f>
        <v>3.8080000000000003</v>
      </c>
      <c r="R21" s="87">
        <f>R20*0.136</f>
        <v>3.9440000000000004</v>
      </c>
      <c r="T21" s="81">
        <f>G21*1000/G20</f>
        <v>137.00000000000003</v>
      </c>
      <c r="U21" s="81">
        <f t="shared" ref="U21:AE21" si="3">H21*1000/H20</f>
        <v>133</v>
      </c>
      <c r="V21" s="81">
        <f t="shared" si="3"/>
        <v>135.00000000000003</v>
      </c>
      <c r="W21" s="81">
        <f t="shared" si="3"/>
        <v>136</v>
      </c>
      <c r="X21" s="81">
        <f t="shared" si="3"/>
        <v>137.00000000000003</v>
      </c>
      <c r="Y21" s="81">
        <f t="shared" si="3"/>
        <v>137</v>
      </c>
      <c r="Z21" s="81">
        <f t="shared" si="3"/>
        <v>137.00000000000003</v>
      </c>
      <c r="AA21" s="81">
        <f t="shared" si="3"/>
        <v>137</v>
      </c>
      <c r="AB21" s="81">
        <f t="shared" si="3"/>
        <v>137</v>
      </c>
      <c r="AC21" s="81">
        <f t="shared" si="3"/>
        <v>137</v>
      </c>
      <c r="AD21" s="81">
        <f t="shared" si="3"/>
        <v>136.00000000000003</v>
      </c>
      <c r="AE21" s="81">
        <f t="shared" si="3"/>
        <v>136.00000000000003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327.58333333333331</v>
      </c>
      <c r="G22" s="66">
        <v>330</v>
      </c>
      <c r="H22" s="66">
        <v>328</v>
      </c>
      <c r="I22" s="66">
        <v>330</v>
      </c>
      <c r="J22" s="66">
        <v>328</v>
      </c>
      <c r="K22" s="66">
        <v>329</v>
      </c>
      <c r="L22" s="66">
        <v>331</v>
      </c>
      <c r="M22" s="66">
        <v>333</v>
      </c>
      <c r="N22" s="66">
        <v>330</v>
      </c>
      <c r="O22" s="66">
        <v>326</v>
      </c>
      <c r="P22" s="66">
        <v>325</v>
      </c>
      <c r="Q22" s="66">
        <v>319</v>
      </c>
      <c r="R22" s="66">
        <v>322</v>
      </c>
      <c r="S22" s="77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594.87235999999996</v>
      </c>
      <c r="G23" s="87">
        <f>G22*5.1*31/1000</f>
        <v>52.172999999999995</v>
      </c>
      <c r="H23" s="87">
        <f>H22*4.47*29/1000</f>
        <v>42.518639999999998</v>
      </c>
      <c r="I23" s="87">
        <f>I22*4.85*31/1000</f>
        <v>49.61549999999999</v>
      </c>
      <c r="J23" s="87">
        <f>J22*4.93*30/1000</f>
        <v>48.511199999999995</v>
      </c>
      <c r="K23" s="87">
        <f>K22*5*31/1000</f>
        <v>50.994999999999997</v>
      </c>
      <c r="L23" s="87">
        <f>L22*5.03*30/1000</f>
        <v>49.947900000000004</v>
      </c>
      <c r="M23" s="87">
        <f>M22*5.04*31/1000</f>
        <v>52.027920000000002</v>
      </c>
      <c r="N23" s="87">
        <f>N22*5.04*31/1000</f>
        <v>51.559200000000004</v>
      </c>
      <c r="O23" s="87">
        <f>O22*5.05*30/1000</f>
        <v>49.389000000000003</v>
      </c>
      <c r="P23" s="87">
        <f>P22*5*31/1000</f>
        <v>50.375</v>
      </c>
      <c r="Q23" s="87">
        <f>Q22*5*30/1000</f>
        <v>47.85</v>
      </c>
      <c r="R23" s="87">
        <f>R22*5*31/1000</f>
        <v>49.91</v>
      </c>
      <c r="T23" s="81">
        <f>(G23*1000/G22)/31</f>
        <v>5.0999999999999988</v>
      </c>
      <c r="U23" s="81">
        <f>(H23*1000/H22)/28</f>
        <v>4.6296428571428567</v>
      </c>
      <c r="V23" s="81">
        <f t="shared" ref="V23:AE23" si="4">(I23*1000/I22)/31</f>
        <v>4.8499999999999988</v>
      </c>
      <c r="W23" s="81">
        <f>(J23*1000/J22)/30</f>
        <v>4.9299999999999988</v>
      </c>
      <c r="X23" s="81">
        <f t="shared" si="4"/>
        <v>5</v>
      </c>
      <c r="Y23" s="81">
        <f>(L23*1000/L22)/30</f>
        <v>5.03</v>
      </c>
      <c r="Z23" s="81">
        <f t="shared" si="4"/>
        <v>5.0399999999999991</v>
      </c>
      <c r="AA23" s="81">
        <f t="shared" si="4"/>
        <v>5.04</v>
      </c>
      <c r="AB23" s="81">
        <f>(O23*1000/O22)/30</f>
        <v>5.05</v>
      </c>
      <c r="AC23" s="81">
        <f t="shared" si="4"/>
        <v>5</v>
      </c>
      <c r="AD23" s="81">
        <f>(Q23*1000/Q22)/30</f>
        <v>5</v>
      </c>
      <c r="AE23" s="81">
        <f t="shared" si="4"/>
        <v>5</v>
      </c>
    </row>
    <row r="24" spans="2:31" ht="16.5" x14ac:dyDescent="0.3">
      <c r="B24" s="76"/>
      <c r="C24" s="65" t="s">
        <v>35</v>
      </c>
      <c r="D24" s="15" t="s">
        <v>36</v>
      </c>
      <c r="E24" s="66">
        <v>1350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360</v>
      </c>
      <c r="G25" s="66">
        <v>26</v>
      </c>
      <c r="H25" s="66">
        <v>24</v>
      </c>
      <c r="I25" s="66">
        <v>23</v>
      </c>
      <c r="J25" s="66">
        <v>28</v>
      </c>
      <c r="K25" s="66">
        <v>32</v>
      </c>
      <c r="L25" s="66">
        <v>34</v>
      </c>
      <c r="M25" s="66">
        <v>39</v>
      </c>
      <c r="N25" s="66">
        <v>35</v>
      </c>
      <c r="O25" s="66">
        <v>32</v>
      </c>
      <c r="P25" s="66">
        <v>29</v>
      </c>
      <c r="Q25" s="66">
        <v>30</v>
      </c>
      <c r="R25" s="66">
        <v>28</v>
      </c>
      <c r="S25" s="7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4.9896000000000011</v>
      </c>
      <c r="G26" s="87">
        <f>G25*0.0138</f>
        <v>0.35880000000000001</v>
      </c>
      <c r="H26" s="87">
        <f>H25*0.0133</f>
        <v>0.31919999999999998</v>
      </c>
      <c r="I26" s="87">
        <f>I25*0.014</f>
        <v>0.32200000000000001</v>
      </c>
      <c r="J26" s="87">
        <f>J25*0.014</f>
        <v>0.39200000000000002</v>
      </c>
      <c r="K26" s="87">
        <f>K25*0.0142</f>
        <v>0.45440000000000003</v>
      </c>
      <c r="L26" s="87">
        <f>L25*0.014</f>
        <v>0.47600000000000003</v>
      </c>
      <c r="M26" s="87">
        <f>M25*0.014</f>
        <v>0.54600000000000004</v>
      </c>
      <c r="N26" s="87">
        <f>N25*0.014</f>
        <v>0.49</v>
      </c>
      <c r="O26" s="87">
        <f>O25*0.014</f>
        <v>0.44800000000000001</v>
      </c>
      <c r="P26" s="87">
        <f>P25*0.0138</f>
        <v>0.4002</v>
      </c>
      <c r="Q26" s="87">
        <f>Q25*0.0135</f>
        <v>0.40499999999999997</v>
      </c>
      <c r="R26" s="87">
        <f>R25*0.0135</f>
        <v>0.378</v>
      </c>
      <c r="T26" s="81">
        <f>G26*1000/G25</f>
        <v>13.8</v>
      </c>
      <c r="U26" s="81">
        <f t="shared" ref="U26:AE26" si="5">H26*1000/H25</f>
        <v>13.299999999999999</v>
      </c>
      <c r="V26" s="81">
        <f t="shared" si="5"/>
        <v>14</v>
      </c>
      <c r="W26" s="81">
        <f t="shared" si="5"/>
        <v>14</v>
      </c>
      <c r="X26" s="81">
        <f t="shared" si="5"/>
        <v>14.200000000000001</v>
      </c>
      <c r="Y26" s="81">
        <f t="shared" si="5"/>
        <v>14.000000000000002</v>
      </c>
      <c r="Z26" s="81">
        <f t="shared" si="5"/>
        <v>14</v>
      </c>
      <c r="AA26" s="81">
        <f t="shared" si="5"/>
        <v>14</v>
      </c>
      <c r="AB26" s="81">
        <f t="shared" si="5"/>
        <v>14</v>
      </c>
      <c r="AC26" s="81">
        <f t="shared" si="5"/>
        <v>13.799999999999999</v>
      </c>
      <c r="AD26" s="81">
        <f t="shared" si="5"/>
        <v>13.499999999999998</v>
      </c>
      <c r="AE26" s="81">
        <f t="shared" si="5"/>
        <v>13.5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247</v>
      </c>
      <c r="G27" s="66">
        <v>80</v>
      </c>
      <c r="H27" s="66">
        <v>85</v>
      </c>
      <c r="I27" s="66">
        <v>82</v>
      </c>
      <c r="J27" s="66"/>
      <c r="K27" s="66"/>
      <c r="L27" s="66"/>
      <c r="M27" s="66"/>
      <c r="N27" s="66"/>
      <c r="O27" s="66"/>
      <c r="P27" s="66"/>
      <c r="Q27" s="66"/>
      <c r="R27" s="66"/>
      <c r="S27" s="77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87">
        <f>SUM(G28:R28)</f>
        <v>0.31124000000000002</v>
      </c>
      <c r="G28" s="87">
        <f>G27*0.00125</f>
        <v>0.1</v>
      </c>
      <c r="H28" s="87">
        <f>H27*0.00126</f>
        <v>0.1071</v>
      </c>
      <c r="I28" s="87">
        <f>I27*0.00127</f>
        <v>0.10414000000000001</v>
      </c>
      <c r="J28" s="71"/>
      <c r="K28" s="71"/>
      <c r="L28" s="71"/>
      <c r="M28" s="71"/>
      <c r="N28" s="71"/>
      <c r="O28" s="71"/>
      <c r="P28" s="71"/>
      <c r="Q28" s="71"/>
      <c r="R28" s="87">
        <f>R27*0.00124</f>
        <v>0</v>
      </c>
      <c r="T28" s="81">
        <f>G28*1000/G27</f>
        <v>1.25</v>
      </c>
      <c r="U28" s="81">
        <f>H28*1000/H27</f>
        <v>1.26</v>
      </c>
      <c r="V28" s="81">
        <f>I28*1000/I27</f>
        <v>1.2700000000000002</v>
      </c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280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109</v>
      </c>
      <c r="G30" s="66">
        <v>9</v>
      </c>
      <c r="H30" s="66">
        <v>10</v>
      </c>
      <c r="I30" s="66">
        <v>8</v>
      </c>
      <c r="J30" s="66">
        <v>9</v>
      </c>
      <c r="K30" s="66">
        <v>10</v>
      </c>
      <c r="L30" s="66">
        <v>9</v>
      </c>
      <c r="M30" s="66">
        <v>9</v>
      </c>
      <c r="N30" s="66">
        <v>10</v>
      </c>
      <c r="O30" s="66">
        <v>9</v>
      </c>
      <c r="P30" s="66">
        <v>10</v>
      </c>
      <c r="Q30" s="66">
        <v>9</v>
      </c>
      <c r="R30" s="66">
        <v>7</v>
      </c>
      <c r="S30" s="77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5.8849999999999998</v>
      </c>
      <c r="G31" s="87">
        <f>G30*0.054</f>
        <v>0.48599999999999999</v>
      </c>
      <c r="H31" s="87">
        <f>H30*0.054</f>
        <v>0.54</v>
      </c>
      <c r="I31" s="87">
        <f>I30*0.055</f>
        <v>0.44</v>
      </c>
      <c r="J31" s="87">
        <f>J30*0.055</f>
        <v>0.495</v>
      </c>
      <c r="K31" s="87">
        <f>K30*0.055</f>
        <v>0.55000000000000004</v>
      </c>
      <c r="L31" s="87">
        <f>L30*0.054</f>
        <v>0.48599999999999999</v>
      </c>
      <c r="M31" s="87">
        <f>M30*0.053</f>
        <v>0.47699999999999998</v>
      </c>
      <c r="N31" s="87">
        <f>N30*0.053</f>
        <v>0.53</v>
      </c>
      <c r="O31" s="87">
        <f>O30*0.053</f>
        <v>0.47699999999999998</v>
      </c>
      <c r="P31" s="87">
        <f>P30*0.054</f>
        <v>0.54</v>
      </c>
      <c r="Q31" s="87">
        <f>Q30*0.054</f>
        <v>0.48599999999999999</v>
      </c>
      <c r="R31" s="87">
        <f>R30*0.054</f>
        <v>0.378</v>
      </c>
      <c r="T31" s="81">
        <f>G31*1000/G30</f>
        <v>54</v>
      </c>
      <c r="U31" s="81">
        <f t="shared" ref="U31:AE31" si="6">H31*1000/H30</f>
        <v>54</v>
      </c>
      <c r="V31" s="81">
        <f t="shared" si="6"/>
        <v>55</v>
      </c>
      <c r="W31" s="81">
        <f t="shared" si="6"/>
        <v>55</v>
      </c>
      <c r="X31" s="81">
        <f t="shared" si="6"/>
        <v>55</v>
      </c>
      <c r="Y31" s="81">
        <f t="shared" si="6"/>
        <v>54</v>
      </c>
      <c r="Z31" s="81">
        <f t="shared" si="6"/>
        <v>53</v>
      </c>
      <c r="AA31" s="81">
        <f t="shared" si="6"/>
        <v>53</v>
      </c>
      <c r="AB31" s="81">
        <f t="shared" si="6"/>
        <v>53</v>
      </c>
      <c r="AC31" s="81">
        <f t="shared" si="6"/>
        <v>54</v>
      </c>
      <c r="AD31" s="81">
        <f t="shared" si="6"/>
        <v>54</v>
      </c>
      <c r="AE31" s="81">
        <f t="shared" si="6"/>
        <v>54</v>
      </c>
    </row>
    <row r="32" spans="2:31" ht="16.5" x14ac:dyDescent="0.3">
      <c r="B32" s="76"/>
      <c r="C32" s="65" t="s">
        <v>35</v>
      </c>
      <c r="D32" s="15" t="s">
        <v>36</v>
      </c>
      <c r="E32" s="66">
        <v>7700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2122</v>
      </c>
      <c r="G33" s="66">
        <v>168</v>
      </c>
      <c r="H33" s="66">
        <v>172</v>
      </c>
      <c r="I33" s="66">
        <v>170</v>
      </c>
      <c r="J33" s="66">
        <v>175</v>
      </c>
      <c r="K33" s="66">
        <v>170</v>
      </c>
      <c r="L33" s="66">
        <v>174</v>
      </c>
      <c r="M33" s="66">
        <v>189</v>
      </c>
      <c r="N33" s="66">
        <v>190</v>
      </c>
      <c r="O33" s="66">
        <v>186</v>
      </c>
      <c r="P33" s="66">
        <v>181</v>
      </c>
      <c r="Q33" s="66">
        <v>177</v>
      </c>
      <c r="R33" s="66">
        <v>170</v>
      </c>
      <c r="S33" s="77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23.497499999999999</v>
      </c>
      <c r="G34" s="109">
        <f>G33*0.011</f>
        <v>1.8479999999999999</v>
      </c>
      <c r="H34" s="87">
        <f>H33*0.011</f>
        <v>1.8919999999999999</v>
      </c>
      <c r="I34" s="87">
        <f>I33*0.0112</f>
        <v>1.9039999999999999</v>
      </c>
      <c r="J34" s="87">
        <f>J33*0.0115</f>
        <v>2.0125000000000002</v>
      </c>
      <c r="K34" s="87">
        <f>K33*0.0112</f>
        <v>1.9039999999999999</v>
      </c>
      <c r="L34" s="87">
        <f t="shared" ref="L34:R34" si="7">L33*0.011</f>
        <v>1.9139999999999999</v>
      </c>
      <c r="M34" s="87">
        <f t="shared" si="7"/>
        <v>2.0789999999999997</v>
      </c>
      <c r="N34" s="87">
        <f t="shared" si="7"/>
        <v>2.09</v>
      </c>
      <c r="O34" s="87">
        <f t="shared" si="7"/>
        <v>2.0459999999999998</v>
      </c>
      <c r="P34" s="87">
        <f t="shared" si="7"/>
        <v>1.9909999999999999</v>
      </c>
      <c r="Q34" s="87">
        <f t="shared" si="7"/>
        <v>1.9469999999999998</v>
      </c>
      <c r="R34" s="87">
        <f t="shared" si="7"/>
        <v>1.8699999999999999</v>
      </c>
      <c r="T34" s="81">
        <f>G34*1000/G33</f>
        <v>10.999999999999998</v>
      </c>
      <c r="U34" s="81">
        <f t="shared" ref="U34:AE34" si="8">H34*1000/H33</f>
        <v>11</v>
      </c>
      <c r="V34" s="81">
        <f t="shared" si="8"/>
        <v>11.2</v>
      </c>
      <c r="W34" s="81">
        <f t="shared" si="8"/>
        <v>11.500000000000002</v>
      </c>
      <c r="X34" s="81">
        <f t="shared" si="8"/>
        <v>11.2</v>
      </c>
      <c r="Y34" s="81">
        <f t="shared" si="8"/>
        <v>11</v>
      </c>
      <c r="Z34" s="81">
        <f t="shared" si="8"/>
        <v>10.999999999999998</v>
      </c>
      <c r="AA34" s="81">
        <f t="shared" si="8"/>
        <v>11</v>
      </c>
      <c r="AB34" s="81">
        <f t="shared" si="8"/>
        <v>10.999999999999998</v>
      </c>
      <c r="AC34" s="81">
        <f t="shared" si="8"/>
        <v>10.999999999999998</v>
      </c>
      <c r="AD34" s="81">
        <f t="shared" si="8"/>
        <v>10.999999999999998</v>
      </c>
      <c r="AE34" s="81">
        <f t="shared" si="8"/>
        <v>10.999999999999998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98425196850393704" bottom="0.98425196850393704" header="0.51181102362204722" footer="0.51181102362204722"/>
  <pageSetup scale="60" firstPageNumber="0" orientation="landscape" horizontalDpi="300" verticalDpi="300" r:id="rId1"/>
  <headerFooter alignWithMargins="0"/>
  <ignoredErrors>
    <ignoredError sqref="K26 Q23 J34 F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E51"/>
  <sheetViews>
    <sheetView zoomScale="87" zoomScaleNormal="87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E1048576"/>
    </sheetView>
  </sheetViews>
  <sheetFormatPr baseColWidth="10" defaultRowHeight="12.75" x14ac:dyDescent="0.2"/>
  <cols>
    <col min="1" max="1" width="4.28515625" customWidth="1"/>
    <col min="3" max="3" width="14.140625" customWidth="1"/>
    <col min="4" max="4" width="22.42578125" customWidth="1"/>
    <col min="5" max="5" width="14.85546875" customWidth="1"/>
    <col min="6" max="6" width="13.5703125" customWidth="1"/>
    <col min="8" max="8" width="9.7109375" customWidth="1"/>
    <col min="9" max="9" width="9.5703125" customWidth="1"/>
    <col min="10" max="10" width="12.42578125" customWidth="1"/>
    <col min="13" max="13" width="8.85546875" customWidth="1"/>
    <col min="19" max="19" width="6.5703125" customWidth="1"/>
    <col min="20" max="20" width="9" hidden="1" customWidth="1"/>
    <col min="21" max="21" width="7.85546875" hidden="1" customWidth="1"/>
    <col min="22" max="22" width="7.140625" hidden="1" customWidth="1"/>
    <col min="23" max="23" width="7" hidden="1" customWidth="1"/>
    <col min="24" max="24" width="7.42578125" hidden="1" customWidth="1"/>
    <col min="25" max="25" width="6.7109375" hidden="1" customWidth="1"/>
    <col min="26" max="26" width="6.5703125" hidden="1" customWidth="1"/>
    <col min="27" max="27" width="7.42578125" hidden="1" customWidth="1"/>
    <col min="28" max="31" width="0" hidden="1" customWidth="1"/>
  </cols>
  <sheetData>
    <row r="1" spans="2:31" x14ac:dyDescent="0.2">
      <c r="B1" s="144" t="s">
        <v>0</v>
      </c>
      <c r="C1" s="144"/>
      <c r="D1" s="144"/>
      <c r="E1" s="144"/>
      <c r="F1" s="1"/>
    </row>
    <row r="2" spans="2:31" x14ac:dyDescent="0.2">
      <c r="B2" s="144" t="s">
        <v>1</v>
      </c>
      <c r="C2" s="144"/>
      <c r="D2" s="144"/>
      <c r="E2" s="144"/>
      <c r="F2" s="1"/>
      <c r="G2" s="45"/>
      <c r="H2" s="45"/>
      <c r="I2" s="45"/>
      <c r="J2" s="45"/>
      <c r="K2" s="45"/>
      <c r="L2" s="45"/>
      <c r="M2" s="45" t="s">
        <v>74</v>
      </c>
      <c r="N2" s="45"/>
      <c r="O2" s="45"/>
      <c r="P2" s="45"/>
      <c r="Q2" s="45"/>
      <c r="R2" s="45"/>
    </row>
    <row r="3" spans="2:31" x14ac:dyDescent="0.2">
      <c r="B3" s="144" t="s">
        <v>2</v>
      </c>
      <c r="C3" s="144"/>
      <c r="D3" s="144"/>
      <c r="E3" s="144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2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2:31" ht="16.5" x14ac:dyDescent="0.3">
      <c r="B7" s="47" t="s">
        <v>65</v>
      </c>
      <c r="C7" s="46"/>
      <c r="D7" s="47" t="s">
        <v>66</v>
      </c>
      <c r="G7" s="46"/>
      <c r="H7" s="45"/>
      <c r="I7" s="46"/>
      <c r="J7" s="45"/>
      <c r="K7" s="126" t="str">
        <f>Caraveli!B4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2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2:31" x14ac:dyDescent="0.2">
      <c r="B9" s="50" t="s">
        <v>68</v>
      </c>
      <c r="C9" s="46"/>
      <c r="D9" s="51" t="s">
        <v>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2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2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2:31" x14ac:dyDescent="0.2">
      <c r="B12" s="56" t="s">
        <v>8</v>
      </c>
      <c r="C12" s="57" t="s">
        <v>9</v>
      </c>
      <c r="D12" s="57" t="s">
        <v>72</v>
      </c>
      <c r="E12" s="110">
        <f>Caraveli!E10</f>
        <v>2025</v>
      </c>
      <c r="F12" s="5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2:31" x14ac:dyDescent="0.2">
      <c r="B13" s="60"/>
      <c r="C13" s="61"/>
      <c r="D13" s="62" t="s">
        <v>73</v>
      </c>
      <c r="E13" s="63" t="s">
        <v>33</v>
      </c>
      <c r="F13" s="111">
        <f>Caraveli!F11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2:31" ht="16.5" x14ac:dyDescent="0.3">
      <c r="B14" s="64" t="s">
        <v>34</v>
      </c>
      <c r="C14" s="65" t="s">
        <v>35</v>
      </c>
      <c r="D14" s="15" t="s">
        <v>36</v>
      </c>
      <c r="E14" s="66">
        <v>1980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2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2260</v>
      </c>
      <c r="G15" s="66">
        <v>203</v>
      </c>
      <c r="H15" s="66">
        <v>205</v>
      </c>
      <c r="I15" s="66">
        <v>193</v>
      </c>
      <c r="J15" s="66">
        <v>196</v>
      </c>
      <c r="K15" s="66">
        <v>193</v>
      </c>
      <c r="L15" s="66">
        <v>185</v>
      </c>
      <c r="M15" s="66">
        <v>167</v>
      </c>
      <c r="N15" s="66">
        <v>169</v>
      </c>
      <c r="O15" s="66">
        <v>176</v>
      </c>
      <c r="P15" s="66">
        <v>192</v>
      </c>
      <c r="Q15" s="66">
        <v>187</v>
      </c>
      <c r="R15" s="66">
        <v>194</v>
      </c>
      <c r="S15" s="69"/>
    </row>
    <row r="16" spans="2:31" ht="16.5" x14ac:dyDescent="0.3">
      <c r="B16" s="60"/>
      <c r="C16" s="65" t="s">
        <v>40</v>
      </c>
      <c r="D16" s="15" t="s">
        <v>41</v>
      </c>
      <c r="E16" s="66"/>
      <c r="F16" s="87">
        <f>SUM(G16:R16)</f>
        <v>5.0453900000000003</v>
      </c>
      <c r="G16" s="87">
        <f>G15*0.00225</f>
        <v>0.45674999999999999</v>
      </c>
      <c r="H16" s="87">
        <f>H15*0.00225</f>
        <v>0.46124999999999994</v>
      </c>
      <c r="I16" s="87">
        <f>I15*0.00225</f>
        <v>0.43424999999999997</v>
      </c>
      <c r="J16" s="87">
        <f>J15*0.00224</f>
        <v>0.43903999999999999</v>
      </c>
      <c r="K16" s="87">
        <f>K15*0.00223</f>
        <v>0.43039000000000005</v>
      </c>
      <c r="L16" s="87">
        <f>L15*0.00222</f>
        <v>0.41070000000000001</v>
      </c>
      <c r="M16" s="87">
        <f>M15*0.00221</f>
        <v>0.36907000000000001</v>
      </c>
      <c r="N16" s="87">
        <f>N15*0.00221</f>
        <v>0.37349000000000004</v>
      </c>
      <c r="O16" s="87">
        <f>O15*0.00222</f>
        <v>0.39072000000000001</v>
      </c>
      <c r="P16" s="87">
        <f>P15*0.00223</f>
        <v>0.42816000000000004</v>
      </c>
      <c r="Q16" s="87">
        <f>Q15*0.00223</f>
        <v>0.41701000000000005</v>
      </c>
      <c r="R16" s="87">
        <f>R15*0.00224</f>
        <v>0.43455999999999995</v>
      </c>
      <c r="S16" s="72"/>
      <c r="T16" s="73">
        <f>G16*1000/G15</f>
        <v>2.25</v>
      </c>
      <c r="U16" s="73">
        <f t="shared" ref="U16:AC16" si="0">H16*1000/H15</f>
        <v>2.2499999999999996</v>
      </c>
      <c r="V16" s="73">
        <f t="shared" si="0"/>
        <v>2.2499999999999996</v>
      </c>
      <c r="W16" s="73">
        <f t="shared" si="0"/>
        <v>2.2399999999999998</v>
      </c>
      <c r="X16" s="73">
        <f t="shared" si="0"/>
        <v>2.2300000000000004</v>
      </c>
      <c r="Y16" s="73">
        <f t="shared" si="0"/>
        <v>2.2199999999999998</v>
      </c>
      <c r="Z16" s="73">
        <f t="shared" si="0"/>
        <v>2.21</v>
      </c>
      <c r="AA16" s="73">
        <f t="shared" si="0"/>
        <v>2.2100000000000004</v>
      </c>
      <c r="AB16" s="73">
        <f t="shared" si="0"/>
        <v>2.2200000000000002</v>
      </c>
      <c r="AC16" s="73">
        <f t="shared" si="0"/>
        <v>2.23</v>
      </c>
      <c r="AD16" s="73">
        <f>Q16*1000/Q15</f>
        <v>2.2300000000000004</v>
      </c>
      <c r="AE16" s="73">
        <f>R16*1000/R15</f>
        <v>2.2399999999999998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344.83333333333331</v>
      </c>
      <c r="G17" s="66">
        <v>406</v>
      </c>
      <c r="H17" s="66">
        <v>342</v>
      </c>
      <c r="I17" s="66">
        <v>256</v>
      </c>
      <c r="J17" s="66">
        <v>250</v>
      </c>
      <c r="K17" s="66">
        <v>254</v>
      </c>
      <c r="L17" s="66">
        <v>259</v>
      </c>
      <c r="M17" s="66">
        <v>385</v>
      </c>
      <c r="N17" s="66">
        <v>392</v>
      </c>
      <c r="O17" s="66">
        <v>402</v>
      </c>
      <c r="P17" s="66">
        <v>396</v>
      </c>
      <c r="Q17" s="66">
        <v>395</v>
      </c>
      <c r="R17" s="66">
        <v>401</v>
      </c>
      <c r="S17" s="69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2.9329999999999998</v>
      </c>
      <c r="G18" s="87">
        <f>((G17*12)/16)/1000</f>
        <v>0.30449999999999999</v>
      </c>
      <c r="H18" s="87">
        <f>((H17*12)/16)/1000</f>
        <v>0.25650000000000001</v>
      </c>
      <c r="I18" s="87">
        <f>((I17*12)/16)/1000</f>
        <v>0.192</v>
      </c>
      <c r="J18" s="87">
        <f>((J17*12)/16)/1000</f>
        <v>0.1875</v>
      </c>
      <c r="K18" s="87">
        <f>((K17*11)/16)/1000</f>
        <v>0.174625</v>
      </c>
      <c r="L18" s="87">
        <f>((L17*10)/16)/1000</f>
        <v>0.16187499999999999</v>
      </c>
      <c r="M18" s="87">
        <f>((M17*10)/16)/1000</f>
        <v>0.24062500000000001</v>
      </c>
      <c r="N18" s="87">
        <f>((N17*10)/16)/1000</f>
        <v>0.245</v>
      </c>
      <c r="O18" s="87">
        <f>((O17*11)/16)/1000</f>
        <v>0.27637499999999998</v>
      </c>
      <c r="P18" s="87">
        <f>((P17*12)/16)/1000</f>
        <v>0.29699999999999999</v>
      </c>
      <c r="Q18" s="87">
        <f>((Q17*12)/16)/1000</f>
        <v>0.29625000000000001</v>
      </c>
      <c r="R18" s="87">
        <f>((R17*12)/16)/1000</f>
        <v>0.30075000000000002</v>
      </c>
      <c r="S18" s="72"/>
      <c r="T18" s="73">
        <f>(G18*1000/G17)*16</f>
        <v>12</v>
      </c>
      <c r="U18" s="73">
        <f t="shared" ref="U18:AE18" si="1">(H18*1000/H17)*16</f>
        <v>12</v>
      </c>
      <c r="V18" s="73">
        <f t="shared" si="1"/>
        <v>12</v>
      </c>
      <c r="W18" s="73">
        <f t="shared" si="1"/>
        <v>12</v>
      </c>
      <c r="X18" s="73">
        <f t="shared" si="1"/>
        <v>11</v>
      </c>
      <c r="Y18" s="73">
        <f t="shared" si="1"/>
        <v>10</v>
      </c>
      <c r="Z18" s="73">
        <f t="shared" si="1"/>
        <v>10</v>
      </c>
      <c r="AA18" s="73">
        <f t="shared" si="1"/>
        <v>10</v>
      </c>
      <c r="AB18" s="73">
        <f t="shared" si="1"/>
        <v>11</v>
      </c>
      <c r="AC18" s="73">
        <f t="shared" si="1"/>
        <v>12</v>
      </c>
      <c r="AD18" s="73">
        <f t="shared" si="1"/>
        <v>12</v>
      </c>
      <c r="AE18" s="73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400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129</v>
      </c>
      <c r="G20" s="66">
        <v>13</v>
      </c>
      <c r="H20" s="66">
        <v>14</v>
      </c>
      <c r="I20" s="66">
        <v>13</v>
      </c>
      <c r="J20" s="66">
        <v>16</v>
      </c>
      <c r="K20" s="66">
        <v>14</v>
      </c>
      <c r="L20" s="66">
        <v>10</v>
      </c>
      <c r="M20" s="66">
        <v>11</v>
      </c>
      <c r="N20" s="66">
        <v>10</v>
      </c>
      <c r="O20" s="66">
        <v>8</v>
      </c>
      <c r="P20" s="66">
        <v>7</v>
      </c>
      <c r="Q20" s="66">
        <v>6</v>
      </c>
      <c r="R20" s="66">
        <v>7</v>
      </c>
      <c r="S20" s="69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21.357999999999997</v>
      </c>
      <c r="G21" s="87">
        <f>G20*0.167</f>
        <v>2.1710000000000003</v>
      </c>
      <c r="H21" s="87">
        <f>H20*0.164</f>
        <v>2.2960000000000003</v>
      </c>
      <c r="I21" s="87">
        <f>I20*0.165</f>
        <v>2.145</v>
      </c>
      <c r="J21" s="87">
        <f>J20*0.166</f>
        <v>2.6560000000000001</v>
      </c>
      <c r="K21" s="87">
        <f>K20*0.167</f>
        <v>2.3380000000000001</v>
      </c>
      <c r="L21" s="87">
        <f>L20*0.165</f>
        <v>1.6500000000000001</v>
      </c>
      <c r="M21" s="87">
        <f>M20*0.164</f>
        <v>1.804</v>
      </c>
      <c r="N21" s="87">
        <f>N20*0.165</f>
        <v>1.6500000000000001</v>
      </c>
      <c r="O21" s="87">
        <f>O20*0.166</f>
        <v>1.3280000000000001</v>
      </c>
      <c r="P21" s="87">
        <f>P20*0.166</f>
        <v>1.1620000000000001</v>
      </c>
      <c r="Q21" s="87">
        <f>Q20*0.166</f>
        <v>0.996</v>
      </c>
      <c r="R21" s="87">
        <f>R20*0.166</f>
        <v>1.1620000000000001</v>
      </c>
      <c r="S21" s="72"/>
      <c r="T21" s="73">
        <f>G21*1000/G20</f>
        <v>167.00000000000003</v>
      </c>
      <c r="U21" s="73">
        <f t="shared" ref="U21:AE21" si="2">H21*1000/H20</f>
        <v>164.00000000000003</v>
      </c>
      <c r="V21" s="73">
        <f t="shared" si="2"/>
        <v>165</v>
      </c>
      <c r="W21" s="73">
        <f t="shared" si="2"/>
        <v>166</v>
      </c>
      <c r="X21" s="73">
        <f t="shared" si="2"/>
        <v>167</v>
      </c>
      <c r="Y21" s="73">
        <f t="shared" si="2"/>
        <v>165.00000000000003</v>
      </c>
      <c r="Z21" s="73">
        <f t="shared" si="2"/>
        <v>164</v>
      </c>
      <c r="AA21" s="73">
        <f t="shared" si="2"/>
        <v>165.00000000000003</v>
      </c>
      <c r="AB21" s="73">
        <f t="shared" si="2"/>
        <v>166</v>
      </c>
      <c r="AC21" s="73">
        <f t="shared" si="2"/>
        <v>166.00000000000003</v>
      </c>
      <c r="AD21" s="73">
        <f t="shared" si="2"/>
        <v>166</v>
      </c>
      <c r="AE21" s="73">
        <f t="shared" si="2"/>
        <v>166.00000000000003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268.41666666666669</v>
      </c>
      <c r="G22" s="66">
        <v>320</v>
      </c>
      <c r="H22" s="66">
        <v>315</v>
      </c>
      <c r="I22" s="66">
        <v>282</v>
      </c>
      <c r="J22" s="66">
        <v>275</v>
      </c>
      <c r="K22" s="66">
        <v>270</v>
      </c>
      <c r="L22" s="66">
        <v>266</v>
      </c>
      <c r="M22" s="66">
        <v>260</v>
      </c>
      <c r="N22" s="66">
        <v>258</v>
      </c>
      <c r="O22" s="66">
        <v>252</v>
      </c>
      <c r="P22" s="66">
        <v>248</v>
      </c>
      <c r="Q22" s="66">
        <v>240</v>
      </c>
      <c r="R22" s="66">
        <v>235</v>
      </c>
      <c r="S22" s="69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867.89173000000005</v>
      </c>
      <c r="G23" s="87">
        <f>G22*8.96*31/1000</f>
        <v>88.883200000000016</v>
      </c>
      <c r="H23" s="87">
        <f>H22*8.51*29/1000</f>
        <v>77.738849999999999</v>
      </c>
      <c r="I23" s="87">
        <f>I22*8.67*31/1000</f>
        <v>75.793139999999994</v>
      </c>
      <c r="J23" s="87">
        <f>J22*8.75*30/1000</f>
        <v>72.1875</v>
      </c>
      <c r="K23" s="87">
        <f>K22*8.83*31/1000</f>
        <v>73.907099999999986</v>
      </c>
      <c r="L23" s="87">
        <f>L22*8.88*30/1000</f>
        <v>70.862400000000008</v>
      </c>
      <c r="M23" s="87">
        <f>M22*8.91*31/1000</f>
        <v>71.814599999999984</v>
      </c>
      <c r="N23" s="87">
        <f>N22*8.92*31/1000</f>
        <v>71.342160000000007</v>
      </c>
      <c r="O23" s="87">
        <f>O22*8.93*30/1000</f>
        <v>67.510800000000003</v>
      </c>
      <c r="P23" s="87">
        <f>P22*8.91*31/1000</f>
        <v>68.500079999999997</v>
      </c>
      <c r="Q23" s="87">
        <f>Q22*8.92*30/1000</f>
        <v>64.224000000000004</v>
      </c>
      <c r="R23" s="87">
        <f>R22*8.94*31/1000</f>
        <v>65.127899999999997</v>
      </c>
      <c r="S23" s="72"/>
      <c r="T23" s="73">
        <f>(G23*1000/G22)/31</f>
        <v>8.9600000000000009</v>
      </c>
      <c r="U23" s="73">
        <f>(H23*1000/H22)/28</f>
        <v>8.8139285714285727</v>
      </c>
      <c r="V23" s="73">
        <f t="shared" ref="V23:AE23" si="3">(I23*1000/I22)/31</f>
        <v>8.67</v>
      </c>
      <c r="W23" s="73">
        <f>(J23*1000/J22)/30</f>
        <v>8.75</v>
      </c>
      <c r="X23" s="73">
        <f t="shared" si="3"/>
        <v>8.8299999999999983</v>
      </c>
      <c r="Y23" s="73">
        <f>(L23*1000/L22)/30</f>
        <v>8.8800000000000008</v>
      </c>
      <c r="Z23" s="73">
        <f t="shared" si="3"/>
        <v>8.91</v>
      </c>
      <c r="AA23" s="73">
        <f t="shared" si="3"/>
        <v>8.9200000000000017</v>
      </c>
      <c r="AB23" s="73">
        <f>(O23*1000/O22)/30</f>
        <v>8.9300000000000015</v>
      </c>
      <c r="AC23" s="73">
        <f t="shared" si="3"/>
        <v>8.91</v>
      </c>
      <c r="AD23" s="73">
        <f>(Q23*1000/Q22)/30</f>
        <v>8.92</v>
      </c>
      <c r="AE23" s="73">
        <f t="shared" si="3"/>
        <v>8.94</v>
      </c>
    </row>
    <row r="24" spans="2:31" ht="16.5" x14ac:dyDescent="0.3">
      <c r="B24" s="76"/>
      <c r="C24" s="65" t="s">
        <v>35</v>
      </c>
      <c r="D24" s="15" t="s">
        <v>36</v>
      </c>
      <c r="E24" s="66">
        <v>300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153</v>
      </c>
      <c r="G25" s="79">
        <v>13</v>
      </c>
      <c r="H25" s="79">
        <v>12</v>
      </c>
      <c r="I25" s="79">
        <v>10</v>
      </c>
      <c r="J25" s="66">
        <v>15</v>
      </c>
      <c r="K25" s="79">
        <v>13</v>
      </c>
      <c r="L25" s="66">
        <v>12</v>
      </c>
      <c r="M25" s="79">
        <v>13</v>
      </c>
      <c r="N25" s="79">
        <v>12</v>
      </c>
      <c r="O25" s="66">
        <v>11</v>
      </c>
      <c r="P25" s="79">
        <v>13</v>
      </c>
      <c r="Q25" s="66">
        <v>15</v>
      </c>
      <c r="R25" s="79">
        <v>14</v>
      </c>
      <c r="S25" s="69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2.4574999999999996</v>
      </c>
      <c r="G26" s="87">
        <f>G25*0.016</f>
        <v>0.20800000000000002</v>
      </c>
      <c r="H26" s="87">
        <f>H25*0.0153</f>
        <v>0.18359999999999999</v>
      </c>
      <c r="I26" s="87">
        <f>I25*0.016</f>
        <v>0.16</v>
      </c>
      <c r="J26" s="87">
        <f>J25*0.0165</f>
        <v>0.2475</v>
      </c>
      <c r="K26" s="87">
        <f>K25*0.0165</f>
        <v>0.21450000000000002</v>
      </c>
      <c r="L26" s="87">
        <f>L25*0.0164</f>
        <v>0.19680000000000003</v>
      </c>
      <c r="M26" s="87">
        <f>M25*0.0163</f>
        <v>0.21189999999999998</v>
      </c>
      <c r="N26" s="87">
        <f>N25*0.0162</f>
        <v>0.19439999999999999</v>
      </c>
      <c r="O26" s="87">
        <f>O25*0.016</f>
        <v>0.17599999999999999</v>
      </c>
      <c r="P26" s="87">
        <f>P25*0.016</f>
        <v>0.20800000000000002</v>
      </c>
      <c r="Q26" s="87">
        <f>Q25*0.0158</f>
        <v>0.23700000000000002</v>
      </c>
      <c r="R26" s="87">
        <f>R25*0.0157</f>
        <v>0.2198</v>
      </c>
      <c r="S26" s="72"/>
      <c r="T26" s="73">
        <f>G26*1000/G25</f>
        <v>16.000000000000004</v>
      </c>
      <c r="U26" s="73">
        <f t="shared" ref="U26:AE26" si="4">H26*1000/H25</f>
        <v>15.299999999999999</v>
      </c>
      <c r="V26" s="73">
        <f t="shared" si="4"/>
        <v>16</v>
      </c>
      <c r="W26" s="73">
        <f t="shared" si="4"/>
        <v>16.5</v>
      </c>
      <c r="X26" s="73">
        <f t="shared" si="4"/>
        <v>16.500000000000004</v>
      </c>
      <c r="Y26" s="73">
        <f t="shared" si="4"/>
        <v>16.400000000000002</v>
      </c>
      <c r="Z26" s="73">
        <f t="shared" si="4"/>
        <v>16.299999999999997</v>
      </c>
      <c r="AA26" s="73">
        <f t="shared" si="4"/>
        <v>16.2</v>
      </c>
      <c r="AB26" s="73">
        <f t="shared" si="4"/>
        <v>16</v>
      </c>
      <c r="AC26" s="73">
        <f t="shared" si="4"/>
        <v>16.000000000000004</v>
      </c>
      <c r="AD26" s="73">
        <f t="shared" si="4"/>
        <v>15.800000000000002</v>
      </c>
      <c r="AE26" s="73">
        <f t="shared" si="4"/>
        <v>15.7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73"/>
      <c r="U28" s="73"/>
      <c r="AE28" s="73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600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244</v>
      </c>
      <c r="G30" s="66">
        <v>24</v>
      </c>
      <c r="H30" s="66">
        <v>22</v>
      </c>
      <c r="I30" s="66">
        <v>17</v>
      </c>
      <c r="J30" s="66">
        <v>20</v>
      </c>
      <c r="K30" s="66">
        <v>17</v>
      </c>
      <c r="L30" s="66">
        <v>16</v>
      </c>
      <c r="M30" s="66">
        <v>22</v>
      </c>
      <c r="N30" s="66">
        <v>23</v>
      </c>
      <c r="O30" s="66">
        <v>22</v>
      </c>
      <c r="P30" s="66">
        <v>20</v>
      </c>
      <c r="Q30" s="66">
        <v>17</v>
      </c>
      <c r="R30" s="66">
        <v>24</v>
      </c>
      <c r="S30" s="69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13.663999999999998</v>
      </c>
      <c r="G31" s="87">
        <f>G30*0.056</f>
        <v>1.3440000000000001</v>
      </c>
      <c r="H31" s="87">
        <f>H30*0.056</f>
        <v>1.232</v>
      </c>
      <c r="I31" s="87">
        <f>I30*0.056</f>
        <v>0.95200000000000007</v>
      </c>
      <c r="J31" s="87">
        <f>J30*0.056</f>
        <v>1.1200000000000001</v>
      </c>
      <c r="K31" s="87">
        <f>K30*0.056</f>
        <v>0.95200000000000007</v>
      </c>
      <c r="L31" s="87">
        <f t="shared" ref="L31:R31" si="5">L30*0.056</f>
        <v>0.89600000000000002</v>
      </c>
      <c r="M31" s="87">
        <f t="shared" si="5"/>
        <v>1.232</v>
      </c>
      <c r="N31" s="87">
        <f t="shared" si="5"/>
        <v>1.288</v>
      </c>
      <c r="O31" s="87">
        <f t="shared" si="5"/>
        <v>1.232</v>
      </c>
      <c r="P31" s="87">
        <f t="shared" si="5"/>
        <v>1.1200000000000001</v>
      </c>
      <c r="Q31" s="87">
        <f t="shared" si="5"/>
        <v>0.95200000000000007</v>
      </c>
      <c r="R31" s="87">
        <f t="shared" si="5"/>
        <v>1.3440000000000001</v>
      </c>
      <c r="S31" s="72"/>
      <c r="T31" s="73">
        <f>G31*1000/G30</f>
        <v>56</v>
      </c>
      <c r="U31" s="73">
        <f t="shared" ref="U31:AE31" si="6">H31*1000/H30</f>
        <v>56</v>
      </c>
      <c r="V31" s="73">
        <f t="shared" si="6"/>
        <v>56.000000000000007</v>
      </c>
      <c r="W31" s="73">
        <f t="shared" si="6"/>
        <v>56</v>
      </c>
      <c r="X31" s="73">
        <f t="shared" si="6"/>
        <v>56.000000000000007</v>
      </c>
      <c r="Y31" s="73">
        <f t="shared" si="6"/>
        <v>56</v>
      </c>
      <c r="Z31" s="73">
        <f t="shared" si="6"/>
        <v>56</v>
      </c>
      <c r="AA31" s="73">
        <f t="shared" si="6"/>
        <v>56</v>
      </c>
      <c r="AB31" s="73">
        <f t="shared" si="6"/>
        <v>56</v>
      </c>
      <c r="AC31" s="73">
        <f t="shared" si="6"/>
        <v>56</v>
      </c>
      <c r="AD31" s="73">
        <f t="shared" si="6"/>
        <v>56.000000000000007</v>
      </c>
      <c r="AE31" s="73">
        <f t="shared" si="6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1000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263</v>
      </c>
      <c r="G33" s="66">
        <v>23</v>
      </c>
      <c r="H33" s="66">
        <v>27</v>
      </c>
      <c r="I33" s="66">
        <v>22</v>
      </c>
      <c r="J33" s="66">
        <v>20</v>
      </c>
      <c r="K33" s="66">
        <v>18</v>
      </c>
      <c r="L33" s="66">
        <v>24</v>
      </c>
      <c r="M33" s="66">
        <v>17</v>
      </c>
      <c r="N33" s="66">
        <v>19</v>
      </c>
      <c r="O33" s="66">
        <v>24</v>
      </c>
      <c r="P33" s="66">
        <v>28</v>
      </c>
      <c r="Q33" s="66">
        <v>17</v>
      </c>
      <c r="R33" s="66">
        <v>24</v>
      </c>
      <c r="S33" s="69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3.2982000000000005</v>
      </c>
      <c r="G34" s="87">
        <f>G33*0.012</f>
        <v>0.27600000000000002</v>
      </c>
      <c r="H34" s="87">
        <f>H33*0.012</f>
        <v>0.32400000000000001</v>
      </c>
      <c r="I34" s="87">
        <f>I33*0.0125</f>
        <v>0.27500000000000002</v>
      </c>
      <c r="J34" s="87">
        <f>J33*0.013</f>
        <v>0.26</v>
      </c>
      <c r="K34" s="87">
        <f>K33*0.013</f>
        <v>0.23399999999999999</v>
      </c>
      <c r="L34" s="87">
        <f>L33*0.013</f>
        <v>0.312</v>
      </c>
      <c r="M34" s="87">
        <f>M33*0.013</f>
        <v>0.221</v>
      </c>
      <c r="N34" s="87">
        <f>N33*0.013</f>
        <v>0.247</v>
      </c>
      <c r="O34" s="87">
        <f>O33*0.0128</f>
        <v>0.30720000000000003</v>
      </c>
      <c r="P34" s="87">
        <f>P33*0.0125</f>
        <v>0.35000000000000003</v>
      </c>
      <c r="Q34" s="87">
        <f>Q33*0.012</f>
        <v>0.20400000000000001</v>
      </c>
      <c r="R34" s="87">
        <f>R33*0.012</f>
        <v>0.28800000000000003</v>
      </c>
      <c r="S34" s="72"/>
      <c r="T34" s="73">
        <f>G34*1000/G33</f>
        <v>12</v>
      </c>
      <c r="U34" s="73">
        <f t="shared" ref="U34:AE34" si="7">H34*1000/H33</f>
        <v>12</v>
      </c>
      <c r="V34" s="73">
        <f t="shared" si="7"/>
        <v>12.5</v>
      </c>
      <c r="W34" s="73">
        <f t="shared" si="7"/>
        <v>13</v>
      </c>
      <c r="X34" s="73">
        <f t="shared" si="7"/>
        <v>13</v>
      </c>
      <c r="Y34" s="73">
        <f t="shared" si="7"/>
        <v>13</v>
      </c>
      <c r="Z34" s="73">
        <f t="shared" si="7"/>
        <v>13</v>
      </c>
      <c r="AA34" s="73">
        <f t="shared" si="7"/>
        <v>13</v>
      </c>
      <c r="AB34" s="73">
        <f t="shared" si="7"/>
        <v>12.800000000000002</v>
      </c>
      <c r="AC34" s="73">
        <f t="shared" si="7"/>
        <v>12.500000000000002</v>
      </c>
      <c r="AD34" s="73">
        <f t="shared" si="7"/>
        <v>12.000000000000002</v>
      </c>
      <c r="AE34" s="73">
        <f t="shared" si="7"/>
        <v>12.000000000000002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73" t="e">
        <f>G37*1000/G36</f>
        <v>#DIV/0!</v>
      </c>
      <c r="U37" s="73" t="e">
        <f t="shared" ref="U37:AE37" si="8">H37*1000/H36</f>
        <v>#DIV/0!</v>
      </c>
      <c r="V37" s="73" t="e">
        <f t="shared" si="8"/>
        <v>#DIV/0!</v>
      </c>
      <c r="W37" s="73" t="e">
        <f t="shared" si="8"/>
        <v>#DIV/0!</v>
      </c>
      <c r="X37" s="73" t="e">
        <f t="shared" si="8"/>
        <v>#DIV/0!</v>
      </c>
      <c r="Y37" s="73" t="e">
        <f t="shared" si="8"/>
        <v>#DIV/0!</v>
      </c>
      <c r="Z37" s="73" t="e">
        <f t="shared" si="8"/>
        <v>#DIV/0!</v>
      </c>
      <c r="AA37" s="73" t="e">
        <f t="shared" si="8"/>
        <v>#DIV/0!</v>
      </c>
      <c r="AB37" s="73" t="e">
        <f t="shared" si="8"/>
        <v>#DIV/0!</v>
      </c>
      <c r="AC37" s="73" t="e">
        <f t="shared" si="8"/>
        <v>#DIV/0!</v>
      </c>
      <c r="AD37" s="73" t="e">
        <f t="shared" si="8"/>
        <v>#DIV/0!</v>
      </c>
      <c r="AE37" s="73" t="e">
        <f t="shared" si="8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</row>
    <row r="39" spans="2:31" ht="16.5" x14ac:dyDescent="0.3">
      <c r="B39" s="60"/>
      <c r="C39" s="61"/>
      <c r="D39" s="15" t="s">
        <v>41</v>
      </c>
      <c r="E39" s="66"/>
      <c r="F39" s="80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AE39" s="73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73" t="e">
        <f>G42*1000/G41</f>
        <v>#DIV/0!</v>
      </c>
      <c r="U42" s="73" t="e">
        <f t="shared" ref="U42:AE42" si="9">H42*1000/H41</f>
        <v>#DIV/0!</v>
      </c>
      <c r="V42" s="73" t="e">
        <f t="shared" si="9"/>
        <v>#DIV/0!</v>
      </c>
      <c r="W42" s="73" t="e">
        <f t="shared" si="9"/>
        <v>#DIV/0!</v>
      </c>
      <c r="X42" s="73" t="e">
        <f t="shared" si="9"/>
        <v>#DIV/0!</v>
      </c>
      <c r="Y42" s="73" t="e">
        <f t="shared" si="9"/>
        <v>#DIV/0!</v>
      </c>
      <c r="Z42" s="73" t="e">
        <f t="shared" si="9"/>
        <v>#DIV/0!</v>
      </c>
      <c r="AA42" s="73" t="e">
        <f t="shared" si="9"/>
        <v>#DIV/0!</v>
      </c>
      <c r="AB42" s="73" t="e">
        <f t="shared" si="9"/>
        <v>#DIV/0!</v>
      </c>
      <c r="AC42" s="73" t="e">
        <f t="shared" si="9"/>
        <v>#DIV/0!</v>
      </c>
      <c r="AD42" s="73" t="e">
        <f t="shared" si="9"/>
        <v>#DIV/0!</v>
      </c>
      <c r="AE42" s="73" t="e">
        <f t="shared" si="9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</row>
    <row r="44" spans="2:31" ht="16.5" x14ac:dyDescent="0.3">
      <c r="B44" s="84"/>
      <c r="C44" s="85"/>
      <c r="D44" s="15" t="s">
        <v>41</v>
      </c>
      <c r="E44" s="66"/>
      <c r="F44" s="80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73" t="e">
        <f>G44*1000/G43</f>
        <v>#DIV/0!</v>
      </c>
      <c r="U44" s="73" t="e">
        <f>H44*1000/H43</f>
        <v>#DIV/0!</v>
      </c>
      <c r="AE44" s="73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88"/>
      <c r="G49" s="83"/>
      <c r="H49" s="86"/>
      <c r="I49" s="86"/>
      <c r="J49" s="83"/>
      <c r="K49" s="83"/>
      <c r="L49" s="83"/>
      <c r="M49" s="83"/>
      <c r="N49" s="83"/>
      <c r="O49" s="83"/>
      <c r="P49" s="89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B1:E1"/>
    <mergeCell ref="B2:E2"/>
    <mergeCell ref="B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3" firstPageNumber="0" orientation="landscape" horizontalDpi="300" verticalDpi="300" r:id="rId1"/>
  <headerFooter alignWithMargins="0"/>
  <ignoredErrors>
    <ignoredError sqref="H26 M21 F17 F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G53"/>
  <sheetViews>
    <sheetView zoomScale="90" zoomScaleNormal="90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M1048576"/>
    </sheetView>
  </sheetViews>
  <sheetFormatPr baseColWidth="10" defaultRowHeight="12.75" x14ac:dyDescent="0.2"/>
  <cols>
    <col min="1" max="1" width="4.7109375" customWidth="1"/>
    <col min="3" max="3" width="16.85546875" customWidth="1"/>
    <col min="4" max="4" width="22" customWidth="1"/>
    <col min="5" max="5" width="15" customWidth="1"/>
    <col min="6" max="6" width="14.42578125" customWidth="1"/>
    <col min="7" max="7" width="8.7109375" customWidth="1"/>
    <col min="8" max="8" width="8.85546875" customWidth="1"/>
    <col min="9" max="18" width="8.7109375" customWidth="1"/>
    <col min="19" max="19" width="6.85546875" customWidth="1"/>
    <col min="20" max="30" width="7.28515625" hidden="1" customWidth="1"/>
    <col min="31" max="39" width="0" hidden="1" customWidth="1"/>
  </cols>
  <sheetData>
    <row r="1" spans="1:31" x14ac:dyDescent="0.2">
      <c r="A1" s="144" t="s">
        <v>0</v>
      </c>
      <c r="B1" s="144"/>
      <c r="C1" s="144"/>
      <c r="D1" s="144"/>
      <c r="E1" s="144"/>
      <c r="F1" s="1"/>
    </row>
    <row r="2" spans="1:31" x14ac:dyDescent="0.2">
      <c r="A2" s="144" t="s">
        <v>1</v>
      </c>
      <c r="B2" s="144"/>
      <c r="C2" s="144"/>
      <c r="D2" s="144"/>
      <c r="E2" s="144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44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0">
        <f>Caraveli!E10</f>
        <v>2025</v>
      </c>
      <c r="F12" s="5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63" t="s">
        <v>33</v>
      </c>
      <c r="F13" s="111">
        <f>Caraveli!F11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9500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40565</v>
      </c>
      <c r="G15" s="66">
        <v>3384</v>
      </c>
      <c r="H15" s="66">
        <v>3256</v>
      </c>
      <c r="I15" s="66">
        <v>2529</v>
      </c>
      <c r="J15" s="66">
        <v>3134</v>
      </c>
      <c r="K15" s="66">
        <v>3125</v>
      </c>
      <c r="L15" s="66">
        <v>3040</v>
      </c>
      <c r="M15" s="66">
        <v>3752</v>
      </c>
      <c r="N15" s="66">
        <v>3726</v>
      </c>
      <c r="O15" s="66">
        <v>3740</v>
      </c>
      <c r="P15" s="66">
        <v>3693</v>
      </c>
      <c r="Q15" s="66">
        <v>3600</v>
      </c>
      <c r="R15" s="66">
        <v>3586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90.846049999999977</v>
      </c>
      <c r="G16" s="87">
        <f>G15*0.00225</f>
        <v>7.613999999999999</v>
      </c>
      <c r="H16" s="87">
        <f>H15*0.00225</f>
        <v>7.3259999999999996</v>
      </c>
      <c r="I16" s="87">
        <f>I15*0.00225</f>
        <v>5.6902499999999998</v>
      </c>
      <c r="J16" s="87">
        <f>J15*0.00225</f>
        <v>7.0514999999999999</v>
      </c>
      <c r="K16" s="87">
        <f>K15*0.00224</f>
        <v>6.9999999999999991</v>
      </c>
      <c r="L16" s="87">
        <f>L15*0.00223</f>
        <v>6.7792000000000003</v>
      </c>
      <c r="M16" s="87">
        <f>M15*0.00223</f>
        <v>8.3669600000000006</v>
      </c>
      <c r="N16" s="87">
        <f>N15*0.00223</f>
        <v>8.30898</v>
      </c>
      <c r="O16" s="87">
        <f>O15*0.00223</f>
        <v>8.3402000000000012</v>
      </c>
      <c r="P16" s="87">
        <f>P15*0.00224</f>
        <v>8.2723199999999988</v>
      </c>
      <c r="Q16" s="87">
        <f>Q15*0.00224</f>
        <v>8.0640000000000001</v>
      </c>
      <c r="R16" s="87">
        <f>R15*0.00224</f>
        <v>8.0326399999999989</v>
      </c>
      <c r="S16" s="72"/>
      <c r="T16" s="81">
        <f>G16*1000/G15</f>
        <v>2.2499999999999996</v>
      </c>
      <c r="U16" s="81">
        <f t="shared" ref="U16:AE16" si="0">H16*1000/H15</f>
        <v>2.25</v>
      </c>
      <c r="V16" s="81">
        <f t="shared" si="0"/>
        <v>2.25</v>
      </c>
      <c r="W16" s="81">
        <f t="shared" si="0"/>
        <v>2.25</v>
      </c>
      <c r="X16" s="81">
        <f t="shared" si="0"/>
        <v>2.2399999999999998</v>
      </c>
      <c r="Y16" s="81">
        <f t="shared" si="0"/>
        <v>2.2300000000000004</v>
      </c>
      <c r="Z16" s="81">
        <f t="shared" si="0"/>
        <v>2.2300000000000004</v>
      </c>
      <c r="AA16" s="81">
        <f t="shared" si="0"/>
        <v>2.23</v>
      </c>
      <c r="AB16" s="81">
        <f t="shared" si="0"/>
        <v>2.23</v>
      </c>
      <c r="AC16" s="81">
        <f t="shared" si="0"/>
        <v>2.2399999999999993</v>
      </c>
      <c r="AD16" s="81">
        <f t="shared" si="0"/>
        <v>2.2400000000000002</v>
      </c>
      <c r="AE16" s="81">
        <f t="shared" si="0"/>
        <v>2.2399999999999998</v>
      </c>
    </row>
    <row r="17" spans="2:59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435.08333333333331</v>
      </c>
      <c r="G17" s="66">
        <v>480</v>
      </c>
      <c r="H17" s="66">
        <v>475</v>
      </c>
      <c r="I17" s="66">
        <v>371</v>
      </c>
      <c r="J17" s="66">
        <v>390</v>
      </c>
      <c r="K17" s="66">
        <v>398</v>
      </c>
      <c r="L17" s="66">
        <v>440</v>
      </c>
      <c r="M17" s="66">
        <v>430</v>
      </c>
      <c r="N17" s="66">
        <v>440</v>
      </c>
      <c r="O17" s="66">
        <v>454</v>
      </c>
      <c r="P17" s="66">
        <v>450</v>
      </c>
      <c r="Q17" s="66">
        <v>448</v>
      </c>
      <c r="R17" s="66">
        <v>445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77"/>
      <c r="AG17" s="77"/>
      <c r="AH17" s="77"/>
      <c r="AI17" s="77"/>
    </row>
    <row r="18" spans="2:59" ht="16.5" x14ac:dyDescent="0.3">
      <c r="B18" s="74" t="s">
        <v>46</v>
      </c>
      <c r="C18" s="61"/>
      <c r="D18" s="15" t="s">
        <v>41</v>
      </c>
      <c r="E18" s="66"/>
      <c r="F18" s="87">
        <f>SUM(G18:R18)</f>
        <v>3.8861874999999992</v>
      </c>
      <c r="G18" s="87">
        <f>((G17*13)/16)/1000</f>
        <v>0.39</v>
      </c>
      <c r="H18" s="87">
        <f>((H17*13)/16)/1000</f>
        <v>0.38593749999999999</v>
      </c>
      <c r="I18" s="87">
        <f>((I17*13)/16)/1000</f>
        <v>0.30143750000000002</v>
      </c>
      <c r="J18" s="87">
        <f>((J17*13)/16)/1000</f>
        <v>0.31687500000000002</v>
      </c>
      <c r="K18" s="87">
        <f>((K17*12)/16)/1000</f>
        <v>0.29849999999999999</v>
      </c>
      <c r="L18" s="87">
        <f>((L17*11)/16)/1000</f>
        <v>0.30249999999999999</v>
      </c>
      <c r="M18" s="87">
        <f>((M17*10)/16)/1000</f>
        <v>0.26874999999999999</v>
      </c>
      <c r="N18" s="87">
        <f>((N17*10)/16)/1000</f>
        <v>0.27500000000000002</v>
      </c>
      <c r="O18" s="87">
        <f>((O17*11)/16)/1000</f>
        <v>0.31212499999999999</v>
      </c>
      <c r="P18" s="87">
        <f>((P17*12)/16)/1000</f>
        <v>0.33750000000000002</v>
      </c>
      <c r="Q18" s="87">
        <f>((Q17*12)/16)/1000</f>
        <v>0.33600000000000002</v>
      </c>
      <c r="R18" s="87">
        <f>((R17*13)/16)/1000</f>
        <v>0.36156250000000001</v>
      </c>
      <c r="S18" s="72"/>
      <c r="T18" s="81">
        <f>(G18*1000/G17)*16</f>
        <v>13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13</v>
      </c>
    </row>
    <row r="19" spans="2:59" ht="16.5" x14ac:dyDescent="0.3">
      <c r="B19" s="76"/>
      <c r="C19" s="65" t="s">
        <v>35</v>
      </c>
      <c r="D19" s="15" t="s">
        <v>36</v>
      </c>
      <c r="E19" s="66">
        <v>400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59" ht="16.5" x14ac:dyDescent="0.3">
      <c r="B20" s="76"/>
      <c r="C20" s="68" t="s">
        <v>38</v>
      </c>
      <c r="D20" s="15" t="s">
        <v>48</v>
      </c>
      <c r="E20" s="66"/>
      <c r="F20" s="66">
        <f>SUM(G20:R20)</f>
        <v>87</v>
      </c>
      <c r="G20" s="66">
        <v>7</v>
      </c>
      <c r="H20" s="66">
        <v>6</v>
      </c>
      <c r="I20" s="66">
        <v>7</v>
      </c>
      <c r="J20" s="66">
        <v>9</v>
      </c>
      <c r="K20" s="66">
        <v>8</v>
      </c>
      <c r="L20" s="66">
        <v>6</v>
      </c>
      <c r="M20" s="66">
        <v>7</v>
      </c>
      <c r="N20" s="66">
        <v>8</v>
      </c>
      <c r="O20" s="66">
        <v>7</v>
      </c>
      <c r="P20" s="66">
        <v>7</v>
      </c>
      <c r="Q20" s="66">
        <v>8</v>
      </c>
      <c r="R20" s="66">
        <v>7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59" ht="16.5" x14ac:dyDescent="0.3">
      <c r="B21" s="64" t="s">
        <v>49</v>
      </c>
      <c r="C21" s="65" t="s">
        <v>40</v>
      </c>
      <c r="D21" s="15" t="s">
        <v>41</v>
      </c>
      <c r="E21" s="71"/>
      <c r="F21" s="87">
        <f>SUM(G21:R21)</f>
        <v>15.617999999999999</v>
      </c>
      <c r="G21" s="87">
        <f>G20*0.18</f>
        <v>1.26</v>
      </c>
      <c r="H21" s="87">
        <f>H20*0.176</f>
        <v>1.056</v>
      </c>
      <c r="I21" s="87">
        <f>I20*0.177</f>
        <v>1.2389999999999999</v>
      </c>
      <c r="J21" s="87">
        <f>J20*0.178</f>
        <v>1.6019999999999999</v>
      </c>
      <c r="K21" s="87">
        <f>K20*0.179</f>
        <v>1.4319999999999999</v>
      </c>
      <c r="L21" s="87">
        <f>L20*0.18</f>
        <v>1.08</v>
      </c>
      <c r="M21" s="87">
        <f>M20*0.18</f>
        <v>1.26</v>
      </c>
      <c r="N21" s="87">
        <f>N20*0.18</f>
        <v>1.44</v>
      </c>
      <c r="O21" s="87">
        <f>O20*0.181</f>
        <v>1.2669999999999999</v>
      </c>
      <c r="P21" s="87">
        <f>P20*0.181</f>
        <v>1.2669999999999999</v>
      </c>
      <c r="Q21" s="87">
        <f>Q20*0.181</f>
        <v>1.448</v>
      </c>
      <c r="R21" s="87">
        <f>R20*0.181</f>
        <v>1.2669999999999999</v>
      </c>
      <c r="S21" s="72"/>
      <c r="T21" s="81">
        <f>G21*1000/G20</f>
        <v>180</v>
      </c>
      <c r="U21" s="81">
        <f t="shared" ref="U21:AE21" si="2">H21*1000/H20</f>
        <v>176</v>
      </c>
      <c r="V21" s="81">
        <f t="shared" si="2"/>
        <v>176.99999999999997</v>
      </c>
      <c r="W21" s="81">
        <f t="shared" si="2"/>
        <v>177.99999999999997</v>
      </c>
      <c r="X21" s="81">
        <f t="shared" si="2"/>
        <v>179</v>
      </c>
      <c r="Y21" s="81">
        <f t="shared" si="2"/>
        <v>180</v>
      </c>
      <c r="Z21" s="81">
        <f t="shared" si="2"/>
        <v>180</v>
      </c>
      <c r="AA21" s="81">
        <f t="shared" si="2"/>
        <v>180</v>
      </c>
      <c r="AB21" s="81">
        <f t="shared" si="2"/>
        <v>181</v>
      </c>
      <c r="AC21" s="81">
        <f t="shared" si="2"/>
        <v>181</v>
      </c>
      <c r="AD21" s="81">
        <f t="shared" si="2"/>
        <v>181</v>
      </c>
      <c r="AE21" s="81">
        <f t="shared" si="2"/>
        <v>181</v>
      </c>
    </row>
    <row r="22" spans="2:59" ht="16.5" x14ac:dyDescent="0.3">
      <c r="B22" s="76"/>
      <c r="C22" s="68" t="s">
        <v>50</v>
      </c>
      <c r="D22" s="15" t="s">
        <v>51</v>
      </c>
      <c r="E22" s="66"/>
      <c r="F22" s="66">
        <f>AVERAGE(G22:R22)</f>
        <v>218</v>
      </c>
      <c r="G22" s="66">
        <v>240</v>
      </c>
      <c r="H22" s="66">
        <v>235</v>
      </c>
      <c r="I22" s="66">
        <v>225</v>
      </c>
      <c r="J22" s="66">
        <v>220</v>
      </c>
      <c r="K22" s="66">
        <v>225</v>
      </c>
      <c r="L22" s="66">
        <v>222</v>
      </c>
      <c r="M22" s="66">
        <v>218</v>
      </c>
      <c r="N22" s="66">
        <v>216</v>
      </c>
      <c r="O22" s="66">
        <v>210</v>
      </c>
      <c r="P22" s="66">
        <v>206</v>
      </c>
      <c r="Q22" s="66">
        <v>201</v>
      </c>
      <c r="R22" s="66">
        <v>198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59" ht="16.5" x14ac:dyDescent="0.3">
      <c r="B23" s="60"/>
      <c r="C23" s="61"/>
      <c r="D23" s="15" t="s">
        <v>41</v>
      </c>
      <c r="E23" s="66"/>
      <c r="F23" s="116">
        <f>SUM(G23:R23)</f>
        <v>822.43888000000015</v>
      </c>
      <c r="G23" s="87">
        <f>G22*10.47*31/1000</f>
        <v>77.896799999999999</v>
      </c>
      <c r="H23" s="87">
        <f>H22*9.76*29/1000</f>
        <v>66.514399999999995</v>
      </c>
      <c r="I23" s="87">
        <f>I22*10*31/1000</f>
        <v>69.75</v>
      </c>
      <c r="J23" s="87">
        <f>J22*10.23*30/1000</f>
        <v>67.518000000000001</v>
      </c>
      <c r="K23" s="87">
        <f>K22*10.32*31/1000</f>
        <v>71.981999999999999</v>
      </c>
      <c r="L23" s="87">
        <f>L22*10.37*30/1000</f>
        <v>69.0642</v>
      </c>
      <c r="M23" s="87">
        <f>M22*10.4*31/1000</f>
        <v>70.283200000000008</v>
      </c>
      <c r="N23" s="87">
        <f>N22*10.42*31/1000</f>
        <v>69.772319999999993</v>
      </c>
      <c r="O23" s="87">
        <f>O22*10.45*30/1000</f>
        <v>65.834999999999994</v>
      </c>
      <c r="P23" s="87">
        <f>P22*10.43*31/1000</f>
        <v>66.605980000000002</v>
      </c>
      <c r="Q23" s="87">
        <f>Q22*10.45*30/1000</f>
        <v>63.013499999999993</v>
      </c>
      <c r="R23" s="87">
        <f>R22*10.46*31/1000</f>
        <v>64.203480000000013</v>
      </c>
      <c r="S23" s="72"/>
      <c r="T23" s="81">
        <f>(G23*1000/G22)/31</f>
        <v>10.47</v>
      </c>
      <c r="U23" s="81">
        <f>(H23*1000/H22)/28</f>
        <v>10.108571428571427</v>
      </c>
      <c r="V23" s="81">
        <f t="shared" ref="V23:AE23" si="3">(I23*1000/I22)/31</f>
        <v>10</v>
      </c>
      <c r="W23" s="81">
        <f>(J23*1000/J22)/30</f>
        <v>10.229999999999999</v>
      </c>
      <c r="X23" s="81">
        <f t="shared" si="3"/>
        <v>10.32</v>
      </c>
      <c r="Y23" s="81">
        <f>(L23*1000/L22)/30</f>
        <v>10.37</v>
      </c>
      <c r="Z23" s="81">
        <f t="shared" si="3"/>
        <v>10.4</v>
      </c>
      <c r="AA23" s="81">
        <f t="shared" si="3"/>
        <v>10.42</v>
      </c>
      <c r="AB23" s="81">
        <f>(O23*1000/O22)/30</f>
        <v>10.45</v>
      </c>
      <c r="AC23" s="81">
        <f t="shared" si="3"/>
        <v>10.43</v>
      </c>
      <c r="AD23" s="81">
        <f>(Q23*1000/Q22)/30</f>
        <v>10.449999999999998</v>
      </c>
      <c r="AE23" s="81">
        <f t="shared" si="3"/>
        <v>10.46</v>
      </c>
    </row>
    <row r="24" spans="2:59" ht="16.5" x14ac:dyDescent="0.3">
      <c r="B24" s="76"/>
      <c r="C24" s="65" t="s">
        <v>35</v>
      </c>
      <c r="D24" s="15" t="s">
        <v>36</v>
      </c>
      <c r="E24" s="66">
        <v>450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59" ht="16.5" x14ac:dyDescent="0.3">
      <c r="B25" s="76"/>
      <c r="C25" s="68" t="s">
        <v>38</v>
      </c>
      <c r="D25" s="15" t="s">
        <v>48</v>
      </c>
      <c r="E25" s="66"/>
      <c r="F25" s="66">
        <f>SUM(G25:R25)</f>
        <v>202</v>
      </c>
      <c r="G25" s="66">
        <v>18</v>
      </c>
      <c r="H25" s="66">
        <v>15</v>
      </c>
      <c r="I25" s="66">
        <v>10</v>
      </c>
      <c r="J25" s="66">
        <v>12</v>
      </c>
      <c r="K25" s="66">
        <v>11</v>
      </c>
      <c r="L25" s="66">
        <v>13</v>
      </c>
      <c r="M25" s="66">
        <v>20</v>
      </c>
      <c r="N25" s="66">
        <v>18</v>
      </c>
      <c r="O25" s="66">
        <v>25</v>
      </c>
      <c r="P25" s="66">
        <v>22</v>
      </c>
      <c r="Q25" s="66">
        <v>20</v>
      </c>
      <c r="R25" s="66">
        <v>18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59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3.7079</v>
      </c>
      <c r="G26" s="87">
        <f>G25*0.018</f>
        <v>0.32399999999999995</v>
      </c>
      <c r="H26" s="87">
        <f>H25*0.018</f>
        <v>0.26999999999999996</v>
      </c>
      <c r="I26" s="87">
        <f>I25*0.018</f>
        <v>0.18</v>
      </c>
      <c r="J26" s="87">
        <f t="shared" ref="J26:P26" si="4">J25*0.0185</f>
        <v>0.22199999999999998</v>
      </c>
      <c r="K26" s="87">
        <f t="shared" si="4"/>
        <v>0.20349999999999999</v>
      </c>
      <c r="L26" s="87">
        <f t="shared" si="4"/>
        <v>0.24049999999999999</v>
      </c>
      <c r="M26" s="87">
        <f t="shared" si="4"/>
        <v>0.37</v>
      </c>
      <c r="N26" s="87">
        <f t="shared" si="4"/>
        <v>0.33299999999999996</v>
      </c>
      <c r="O26" s="87">
        <f t="shared" si="4"/>
        <v>0.46249999999999997</v>
      </c>
      <c r="P26" s="87">
        <f t="shared" si="4"/>
        <v>0.40699999999999997</v>
      </c>
      <c r="Q26" s="87">
        <f>Q25*0.0183</f>
        <v>0.36599999999999999</v>
      </c>
      <c r="R26" s="87">
        <f>R25*0.0183</f>
        <v>0.32940000000000003</v>
      </c>
      <c r="S26" s="72"/>
      <c r="T26" s="81">
        <f>G26*1000/G25</f>
        <v>17.999999999999996</v>
      </c>
      <c r="U26" s="81">
        <f t="shared" ref="U26:AE26" si="5">H26*1000/H25</f>
        <v>17.999999999999996</v>
      </c>
      <c r="V26" s="81">
        <f t="shared" si="5"/>
        <v>18</v>
      </c>
      <c r="W26" s="81">
        <f t="shared" si="5"/>
        <v>18.499999999999996</v>
      </c>
      <c r="X26" s="81">
        <f t="shared" si="5"/>
        <v>18.5</v>
      </c>
      <c r="Y26" s="81">
        <f t="shared" si="5"/>
        <v>18.5</v>
      </c>
      <c r="Z26" s="81">
        <f t="shared" si="5"/>
        <v>18.5</v>
      </c>
      <c r="AA26" s="81">
        <f t="shared" si="5"/>
        <v>18.499999999999996</v>
      </c>
      <c r="AB26" s="81">
        <f t="shared" si="5"/>
        <v>18.499999999999996</v>
      </c>
      <c r="AC26" s="81">
        <f t="shared" si="5"/>
        <v>18.5</v>
      </c>
      <c r="AD26" s="81">
        <f t="shared" si="5"/>
        <v>18.3</v>
      </c>
      <c r="AE26" s="81">
        <f t="shared" si="5"/>
        <v>18.3</v>
      </c>
    </row>
    <row r="27" spans="2:59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59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59" ht="16.5" x14ac:dyDescent="0.3">
      <c r="B29" s="76"/>
      <c r="C29" s="65" t="s">
        <v>35</v>
      </c>
      <c r="D29" s="15" t="s">
        <v>36</v>
      </c>
      <c r="E29" s="66">
        <v>650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59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293</v>
      </c>
      <c r="G30" s="66">
        <v>25</v>
      </c>
      <c r="H30" s="66">
        <v>23</v>
      </c>
      <c r="I30" s="66">
        <v>21</v>
      </c>
      <c r="J30" s="66">
        <v>23</v>
      </c>
      <c r="K30" s="66">
        <v>25</v>
      </c>
      <c r="L30" s="66">
        <v>23</v>
      </c>
      <c r="M30" s="66">
        <v>20</v>
      </c>
      <c r="N30" s="66">
        <v>23</v>
      </c>
      <c r="O30" s="66">
        <v>22</v>
      </c>
      <c r="P30" s="66">
        <v>26</v>
      </c>
      <c r="Q30" s="66">
        <v>29</v>
      </c>
      <c r="R30" s="66">
        <v>33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BG30" t="s">
        <v>93</v>
      </c>
    </row>
    <row r="31" spans="2:59" ht="16.5" x14ac:dyDescent="0.3">
      <c r="B31" s="60"/>
      <c r="C31" s="65" t="s">
        <v>40</v>
      </c>
      <c r="D31" s="15" t="s">
        <v>41</v>
      </c>
      <c r="E31" s="66"/>
      <c r="F31" s="87">
        <f>SUM(G31:R31)</f>
        <v>16.745000000000001</v>
      </c>
      <c r="G31" s="87">
        <f>G30*0.057</f>
        <v>1.425</v>
      </c>
      <c r="H31" s="87">
        <f>H30*0.058</f>
        <v>1.3340000000000001</v>
      </c>
      <c r="I31" s="87">
        <f>I30*0.058</f>
        <v>1.218</v>
      </c>
      <c r="J31" s="87">
        <f t="shared" ref="J31:R31" si="6">J30*0.057</f>
        <v>1.3109999999999999</v>
      </c>
      <c r="K31" s="87">
        <f t="shared" si="6"/>
        <v>1.425</v>
      </c>
      <c r="L31" s="87">
        <f t="shared" si="6"/>
        <v>1.3109999999999999</v>
      </c>
      <c r="M31" s="87">
        <f t="shared" si="6"/>
        <v>1.1400000000000001</v>
      </c>
      <c r="N31" s="87">
        <f t="shared" si="6"/>
        <v>1.3109999999999999</v>
      </c>
      <c r="O31" s="87">
        <f t="shared" si="6"/>
        <v>1.254</v>
      </c>
      <c r="P31" s="87">
        <f t="shared" si="6"/>
        <v>1.482</v>
      </c>
      <c r="Q31" s="87">
        <f t="shared" si="6"/>
        <v>1.653</v>
      </c>
      <c r="R31" s="87">
        <f t="shared" si="6"/>
        <v>1.881</v>
      </c>
      <c r="S31" s="72"/>
      <c r="T31" s="81">
        <f>G31*1000/G30</f>
        <v>57</v>
      </c>
      <c r="U31" s="81">
        <f t="shared" ref="U31:AE31" si="7">H31*1000/H30</f>
        <v>58</v>
      </c>
      <c r="V31" s="81">
        <f t="shared" si="7"/>
        <v>58</v>
      </c>
      <c r="W31" s="81">
        <f t="shared" si="7"/>
        <v>57</v>
      </c>
      <c r="X31" s="81">
        <f t="shared" si="7"/>
        <v>57</v>
      </c>
      <c r="Y31" s="81">
        <f t="shared" si="7"/>
        <v>57</v>
      </c>
      <c r="Z31" s="81">
        <f t="shared" si="7"/>
        <v>57.000000000000014</v>
      </c>
      <c r="AA31" s="81">
        <f t="shared" si="7"/>
        <v>57</v>
      </c>
      <c r="AB31" s="81">
        <f t="shared" si="7"/>
        <v>57</v>
      </c>
      <c r="AC31" s="81">
        <f t="shared" si="7"/>
        <v>57</v>
      </c>
      <c r="AD31" s="81">
        <f t="shared" si="7"/>
        <v>57</v>
      </c>
      <c r="AE31" s="81">
        <f t="shared" si="7"/>
        <v>57</v>
      </c>
    </row>
    <row r="32" spans="2:59" ht="16.5" x14ac:dyDescent="0.3">
      <c r="B32" s="76"/>
      <c r="C32" s="65" t="s">
        <v>35</v>
      </c>
      <c r="D32" s="15" t="s">
        <v>36</v>
      </c>
      <c r="E32" s="66">
        <v>800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177</v>
      </c>
      <c r="G33" s="66">
        <v>13</v>
      </c>
      <c r="H33" s="66">
        <v>14</v>
      </c>
      <c r="I33" s="66">
        <v>12</v>
      </c>
      <c r="J33" s="66">
        <v>14</v>
      </c>
      <c r="K33" s="66">
        <v>18</v>
      </c>
      <c r="L33" s="66">
        <v>16</v>
      </c>
      <c r="M33" s="66">
        <v>13</v>
      </c>
      <c r="N33" s="66">
        <v>12</v>
      </c>
      <c r="O33" s="66">
        <v>13</v>
      </c>
      <c r="P33" s="66">
        <v>18</v>
      </c>
      <c r="Q33" s="66">
        <v>16</v>
      </c>
      <c r="R33" s="66">
        <v>18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117">
        <f>SUM(G34:R34)</f>
        <v>2.4134000000000002</v>
      </c>
      <c r="G34" s="87">
        <f>G33*0.0132</f>
        <v>0.1716</v>
      </c>
      <c r="H34" s="87">
        <f>H33*0.013</f>
        <v>0.182</v>
      </c>
      <c r="I34" s="87">
        <f>I33*0.0135</f>
        <v>0.16200000000000001</v>
      </c>
      <c r="J34" s="87">
        <f>J33*0.0138</f>
        <v>0.19319999999999998</v>
      </c>
      <c r="K34" s="87">
        <f>K33*0.0135</f>
        <v>0.24299999999999999</v>
      </c>
      <c r="L34" s="87">
        <f>L33*0.014</f>
        <v>0.224</v>
      </c>
      <c r="M34" s="87">
        <f>M33*0.014</f>
        <v>0.182</v>
      </c>
      <c r="N34" s="87">
        <f>N33*0.014</f>
        <v>0.16800000000000001</v>
      </c>
      <c r="O34" s="87">
        <f>O33*0.014</f>
        <v>0.182</v>
      </c>
      <c r="P34" s="87">
        <f>P33*0.0138</f>
        <v>0.24840000000000001</v>
      </c>
      <c r="Q34" s="87">
        <f>Q33*0.0135</f>
        <v>0.216</v>
      </c>
      <c r="R34" s="87">
        <f>R33*0.0134</f>
        <v>0.2412</v>
      </c>
      <c r="S34" s="72"/>
      <c r="T34" s="81">
        <f>G34*1000/G33</f>
        <v>13.2</v>
      </c>
      <c r="U34" s="81">
        <f t="shared" ref="U34:AE34" si="8">H34*1000/H33</f>
        <v>13</v>
      </c>
      <c r="V34" s="81">
        <f t="shared" si="8"/>
        <v>13.5</v>
      </c>
      <c r="W34" s="81">
        <f t="shared" si="8"/>
        <v>13.799999999999999</v>
      </c>
      <c r="X34" s="81">
        <f t="shared" si="8"/>
        <v>13.5</v>
      </c>
      <c r="Y34" s="81">
        <f t="shared" si="8"/>
        <v>14</v>
      </c>
      <c r="Z34" s="81">
        <f t="shared" si="8"/>
        <v>14</v>
      </c>
      <c r="AA34" s="81">
        <f t="shared" si="8"/>
        <v>14</v>
      </c>
      <c r="AB34" s="81">
        <f t="shared" si="8"/>
        <v>14</v>
      </c>
      <c r="AC34" s="81">
        <f t="shared" si="8"/>
        <v>13.8</v>
      </c>
      <c r="AD34" s="81">
        <f t="shared" si="8"/>
        <v>13.5</v>
      </c>
      <c r="AE34" s="81">
        <f t="shared" si="8"/>
        <v>13.399999999999999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71"/>
      <c r="S37" s="72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71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71"/>
      <c r="I48" s="71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71"/>
      <c r="I49" s="71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 t="s">
        <v>76</v>
      </c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2:19" x14ac:dyDescent="0.2">
      <c r="F52" s="94"/>
    </row>
    <row r="53" spans="2:19" x14ac:dyDescent="0.2">
      <c r="C53" s="95" t="s">
        <v>74</v>
      </c>
      <c r="F53" s="94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P23 J34 F17 F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368"/>
  <sheetViews>
    <sheetView zoomScale="87" zoomScaleNormal="87" workbookViewId="0">
      <pane xSplit="6" ySplit="14" topLeftCell="G15" activePane="bottomRight" state="frozen"/>
      <selection pane="topRight" activeCell="H1" sqref="H1"/>
      <selection pane="bottomLeft" activeCell="A15" sqref="A15"/>
      <selection pane="bottomRight" activeCell="T1" sqref="T1:AE1048576"/>
    </sheetView>
  </sheetViews>
  <sheetFormatPr baseColWidth="10" defaultRowHeight="12.75" x14ac:dyDescent="0.2"/>
  <cols>
    <col min="1" max="1" width="5.7109375" customWidth="1"/>
    <col min="4" max="4" width="12.7109375" customWidth="1"/>
    <col min="7" max="18" width="8.7109375" customWidth="1"/>
    <col min="19" max="19" width="7.5703125" customWidth="1"/>
    <col min="20" max="20" width="10.7109375" hidden="1" customWidth="1"/>
    <col min="21" max="31" width="8.7109375" hidden="1" customWidth="1"/>
  </cols>
  <sheetData>
    <row r="1" spans="1:31" x14ac:dyDescent="0.2">
      <c r="A1" s="144" t="s">
        <v>0</v>
      </c>
      <c r="B1" s="144"/>
      <c r="C1" s="144"/>
      <c r="D1" s="144"/>
      <c r="E1" s="144"/>
      <c r="F1" s="1"/>
    </row>
    <row r="2" spans="1:31" x14ac:dyDescent="0.2">
      <c r="A2" s="144" t="s">
        <v>1</v>
      </c>
      <c r="B2" s="144"/>
      <c r="C2" s="144"/>
      <c r="D2" s="144"/>
      <c r="E2" s="144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44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112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77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0">
        <f>Caraveli!E10</f>
        <v>2025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0">
        <f>Caraveli!F11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600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572</v>
      </c>
      <c r="G15" s="66">
        <v>55</v>
      </c>
      <c r="H15" s="66">
        <v>53</v>
      </c>
      <c r="I15" s="66">
        <v>64</v>
      </c>
      <c r="J15" s="66">
        <v>39</v>
      </c>
      <c r="K15" s="66">
        <v>45</v>
      </c>
      <c r="L15" s="66">
        <v>48</v>
      </c>
      <c r="M15" s="66">
        <v>44</v>
      </c>
      <c r="N15" s="66">
        <v>46</v>
      </c>
      <c r="O15" s="66">
        <v>44</v>
      </c>
      <c r="P15" s="66">
        <v>45</v>
      </c>
      <c r="Q15" s="66">
        <v>43</v>
      </c>
      <c r="R15" s="66">
        <v>46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1.27596</v>
      </c>
      <c r="G16" s="87">
        <f>G15*0.00225</f>
        <v>0.12374999999999999</v>
      </c>
      <c r="H16" s="87">
        <f>H15*0.00224</f>
        <v>0.11871999999999999</v>
      </c>
      <c r="I16" s="87">
        <f>I15*0.00224</f>
        <v>0.14335999999999999</v>
      </c>
      <c r="J16" s="87">
        <f>J15*0.00224</f>
        <v>8.7359999999999993E-2</v>
      </c>
      <c r="K16" s="87">
        <f>K15*0.00223</f>
        <v>0.10035000000000001</v>
      </c>
      <c r="L16" s="87">
        <f>L15*0.00222</f>
        <v>0.10656000000000002</v>
      </c>
      <c r="M16" s="87">
        <f>M15*0.00221</f>
        <v>9.7240000000000007E-2</v>
      </c>
      <c r="N16" s="87">
        <f>N15*0.00221</f>
        <v>0.10166</v>
      </c>
      <c r="O16" s="87">
        <f>O15*0.00222</f>
        <v>9.7680000000000003E-2</v>
      </c>
      <c r="P16" s="87">
        <f>P15*0.00223</f>
        <v>0.10035000000000001</v>
      </c>
      <c r="Q16" s="87">
        <f>Q15*0.00223</f>
        <v>9.5890000000000003E-2</v>
      </c>
      <c r="R16" s="87">
        <f>R15*0.00224</f>
        <v>0.10303999999999999</v>
      </c>
      <c r="S16" s="72"/>
      <c r="T16" s="81">
        <f t="shared" ref="T16:AE16" si="0">G16*1000/G15</f>
        <v>2.2499999999999996</v>
      </c>
      <c r="U16" s="81">
        <f t="shared" si="0"/>
        <v>2.2399999999999998</v>
      </c>
      <c r="V16" s="81">
        <f t="shared" si="0"/>
        <v>2.2399999999999998</v>
      </c>
      <c r="W16" s="81">
        <f t="shared" si="0"/>
        <v>2.2399999999999998</v>
      </c>
      <c r="X16" s="81">
        <f t="shared" si="0"/>
        <v>2.23</v>
      </c>
      <c r="Y16" s="81">
        <f t="shared" si="0"/>
        <v>2.2200000000000002</v>
      </c>
      <c r="Z16" s="81">
        <f t="shared" si="0"/>
        <v>2.2100000000000004</v>
      </c>
      <c r="AA16" s="81">
        <f t="shared" si="0"/>
        <v>2.21</v>
      </c>
      <c r="AB16" s="81">
        <f t="shared" si="0"/>
        <v>2.2200000000000002</v>
      </c>
      <c r="AC16" s="81">
        <f t="shared" si="0"/>
        <v>2.23</v>
      </c>
      <c r="AD16" s="81">
        <f t="shared" si="0"/>
        <v>2.23</v>
      </c>
      <c r="AE16" s="81">
        <f t="shared" si="0"/>
        <v>2.2399999999999998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123.83333333333333</v>
      </c>
      <c r="G17" s="66">
        <v>124</v>
      </c>
      <c r="H17" s="66">
        <v>119</v>
      </c>
      <c r="I17" s="66">
        <v>116</v>
      </c>
      <c r="J17" s="66">
        <v>120</v>
      </c>
      <c r="K17" s="66">
        <v>122</v>
      </c>
      <c r="L17" s="66">
        <v>120</v>
      </c>
      <c r="M17" s="66">
        <v>129</v>
      </c>
      <c r="N17" s="66">
        <v>131</v>
      </c>
      <c r="O17" s="66">
        <v>128</v>
      </c>
      <c r="P17" s="66">
        <v>126</v>
      </c>
      <c r="Q17" s="66">
        <v>124</v>
      </c>
      <c r="R17" s="66">
        <v>127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78"/>
      <c r="F18" s="87">
        <f>SUM(G18:R18)</f>
        <v>1.0816875000000001</v>
      </c>
      <c r="G18" s="87">
        <f>((G17*13)/16)/1000</f>
        <v>0.10075000000000001</v>
      </c>
      <c r="H18" s="87">
        <f>((H17*13)/16)/1000</f>
        <v>9.6687499999999996E-2</v>
      </c>
      <c r="I18" s="87">
        <f>((I17*12)/16)/1000</f>
        <v>8.6999999999999994E-2</v>
      </c>
      <c r="J18" s="87">
        <f>((J17*12)/16)/1000</f>
        <v>0.09</v>
      </c>
      <c r="K18" s="87">
        <f>((K17*12)/16)/1000</f>
        <v>9.1499999999999998E-2</v>
      </c>
      <c r="L18" s="87">
        <f>((L17*11)/16)/1000</f>
        <v>8.2500000000000004E-2</v>
      </c>
      <c r="M18" s="87">
        <f>((M17*10)/16)/1000</f>
        <v>8.0625000000000002E-2</v>
      </c>
      <c r="N18" s="87">
        <f>((N17*10)/16)/1000</f>
        <v>8.1875000000000003E-2</v>
      </c>
      <c r="O18" s="87">
        <f>((O17*11)/16)/1000</f>
        <v>8.7999999999999995E-2</v>
      </c>
      <c r="P18" s="87">
        <f>((P17*12)/16)/1000</f>
        <v>9.4500000000000001E-2</v>
      </c>
      <c r="Q18" s="87">
        <f>((Q17*12)/16)/1000</f>
        <v>9.2999999999999999E-2</v>
      </c>
      <c r="R18" s="87">
        <f>((R17*12)/16)/1000</f>
        <v>9.5250000000000001E-2</v>
      </c>
      <c r="S18" s="72"/>
      <c r="T18" s="81">
        <f t="shared" ref="T18:AE18" si="1">(G18*1000/G17)*16</f>
        <v>13</v>
      </c>
      <c r="U18" s="81">
        <f t="shared" si="1"/>
        <v>13</v>
      </c>
      <c r="V18" s="81">
        <f t="shared" si="1"/>
        <v>12</v>
      </c>
      <c r="W18" s="81">
        <f t="shared" si="1"/>
        <v>12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90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24</v>
      </c>
      <c r="G20" s="66">
        <v>2</v>
      </c>
      <c r="H20" s="66">
        <v>2</v>
      </c>
      <c r="I20" s="66">
        <v>3</v>
      </c>
      <c r="J20" s="66">
        <v>1</v>
      </c>
      <c r="K20" s="66">
        <v>2</v>
      </c>
      <c r="L20" s="66">
        <v>2</v>
      </c>
      <c r="M20" s="66">
        <v>3</v>
      </c>
      <c r="N20" s="66">
        <v>2</v>
      </c>
      <c r="O20" s="66">
        <v>2</v>
      </c>
      <c r="P20" s="66">
        <v>2</v>
      </c>
      <c r="Q20" s="66">
        <v>2</v>
      </c>
      <c r="R20" s="66">
        <v>1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3.0029999999999988</v>
      </c>
      <c r="G21" s="87">
        <f>G20*0.126</f>
        <v>0.252</v>
      </c>
      <c r="H21" s="87">
        <f>H20*0.122</f>
        <v>0.24399999999999999</v>
      </c>
      <c r="I21" s="87">
        <f>I20*0.123</f>
        <v>0.36899999999999999</v>
      </c>
      <c r="J21" s="87">
        <f>J20*0.124</f>
        <v>0.124</v>
      </c>
      <c r="K21" s="87">
        <f>K20*0.125</f>
        <v>0.25</v>
      </c>
      <c r="L21" s="87">
        <f t="shared" ref="L21:Q21" si="2">L20*0.126</f>
        <v>0.252</v>
      </c>
      <c r="M21" s="87">
        <f t="shared" si="2"/>
        <v>0.378</v>
      </c>
      <c r="N21" s="87">
        <f t="shared" si="2"/>
        <v>0.252</v>
      </c>
      <c r="O21" s="87">
        <f t="shared" si="2"/>
        <v>0.252</v>
      </c>
      <c r="P21" s="87">
        <f t="shared" si="2"/>
        <v>0.252</v>
      </c>
      <c r="Q21" s="87">
        <f t="shared" si="2"/>
        <v>0.252</v>
      </c>
      <c r="R21" s="87">
        <f>R20*0.126</f>
        <v>0.126</v>
      </c>
      <c r="S21" s="72"/>
      <c r="T21" s="81">
        <f t="shared" ref="T21:AE21" si="3">G21*1000/G20</f>
        <v>126</v>
      </c>
      <c r="U21" s="81">
        <f t="shared" si="3"/>
        <v>122</v>
      </c>
      <c r="V21" s="81">
        <f t="shared" si="3"/>
        <v>123</v>
      </c>
      <c r="W21" s="81">
        <f t="shared" si="3"/>
        <v>124</v>
      </c>
      <c r="X21" s="81">
        <f t="shared" si="3"/>
        <v>125</v>
      </c>
      <c r="Y21" s="81">
        <f t="shared" si="3"/>
        <v>126</v>
      </c>
      <c r="Z21" s="81">
        <f t="shared" si="3"/>
        <v>126</v>
      </c>
      <c r="AA21" s="81">
        <f t="shared" si="3"/>
        <v>126</v>
      </c>
      <c r="AB21" s="81">
        <f t="shared" si="3"/>
        <v>126</v>
      </c>
      <c r="AC21" s="81">
        <f t="shared" si="3"/>
        <v>126</v>
      </c>
      <c r="AD21" s="81">
        <f t="shared" si="3"/>
        <v>126</v>
      </c>
      <c r="AE21" s="81">
        <f t="shared" si="3"/>
        <v>126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16.083333333333332</v>
      </c>
      <c r="G22" s="66">
        <v>18</v>
      </c>
      <c r="H22" s="66">
        <v>17</v>
      </c>
      <c r="I22" s="66">
        <v>16</v>
      </c>
      <c r="J22" s="66">
        <v>14</v>
      </c>
      <c r="K22" s="66">
        <v>15</v>
      </c>
      <c r="L22" s="66">
        <v>16</v>
      </c>
      <c r="M22" s="66">
        <v>18</v>
      </c>
      <c r="N22" s="66">
        <v>16</v>
      </c>
      <c r="O22" s="66">
        <v>18</v>
      </c>
      <c r="P22" s="66">
        <v>14</v>
      </c>
      <c r="Q22" s="66">
        <v>16</v>
      </c>
      <c r="R22" s="66">
        <v>15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34.976520000000001</v>
      </c>
      <c r="G23" s="87">
        <f>G22*6.01*31/1000</f>
        <v>3.35358</v>
      </c>
      <c r="H23" s="87">
        <f>H22*5.7*29/1000</f>
        <v>2.8101000000000003</v>
      </c>
      <c r="I23" s="87">
        <f>I22*5.79*31/1000</f>
        <v>2.8718400000000002</v>
      </c>
      <c r="J23" s="87">
        <f>J22*5.87*30/1000</f>
        <v>2.4654000000000003</v>
      </c>
      <c r="K23" s="87">
        <f>K22*5.94*31/1000</f>
        <v>2.7621000000000002</v>
      </c>
      <c r="L23" s="87">
        <f>L22*5.95*30/1000</f>
        <v>2.8559999999999999</v>
      </c>
      <c r="M23" s="87">
        <f>M22*6*31/1000</f>
        <v>3.3479999999999999</v>
      </c>
      <c r="N23" s="87">
        <f>N22*6*31/1000</f>
        <v>2.976</v>
      </c>
      <c r="O23" s="87">
        <f>O22*6.01*30/1000</f>
        <v>3.2453999999999996</v>
      </c>
      <c r="P23" s="87">
        <f>P22*6*31/1000</f>
        <v>2.6040000000000001</v>
      </c>
      <c r="Q23" s="87">
        <f>Q22*6.01*30/1000</f>
        <v>2.8847999999999998</v>
      </c>
      <c r="R23" s="87">
        <f>R22*6.02*31/1000</f>
        <v>2.7992999999999997</v>
      </c>
      <c r="S23" s="72"/>
      <c r="T23" s="81">
        <f>(G23*1000/G22)/31</f>
        <v>6.01</v>
      </c>
      <c r="U23" s="81">
        <f>(H23*1000/H22)/28</f>
        <v>5.9035714285714294</v>
      </c>
      <c r="V23" s="81">
        <f>(I23*1000/I22)/31</f>
        <v>5.79</v>
      </c>
      <c r="W23" s="81">
        <f>(J23*1000/J22)/30</f>
        <v>5.87</v>
      </c>
      <c r="X23" s="81">
        <f>(K23*1000/K22)/31</f>
        <v>5.94</v>
      </c>
      <c r="Y23" s="81">
        <f>(L23*1000/L22)/30</f>
        <v>5.95</v>
      </c>
      <c r="Z23" s="81">
        <f>(M23*1000/M22)/31</f>
        <v>6</v>
      </c>
      <c r="AA23" s="81">
        <f>(N23*1000/N22)/31</f>
        <v>6</v>
      </c>
      <c r="AB23" s="81">
        <f>(O23*1000/O22)/30</f>
        <v>6.01</v>
      </c>
      <c r="AC23" s="81">
        <f>(P23*1000/P22)/31</f>
        <v>6</v>
      </c>
      <c r="AD23" s="81">
        <f>(Q23*1000/Q22)/30</f>
        <v>6.01</v>
      </c>
      <c r="AE23" s="81">
        <f>(R23*1000/R22)/31</f>
        <v>6.02</v>
      </c>
    </row>
    <row r="24" spans="2:31" ht="16.5" x14ac:dyDescent="0.3">
      <c r="B24" s="76"/>
      <c r="C24" s="65" t="s">
        <v>35</v>
      </c>
      <c r="D24" s="15" t="s">
        <v>36</v>
      </c>
      <c r="E24" s="66">
        <v>140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35</v>
      </c>
      <c r="G25" s="66">
        <v>3</v>
      </c>
      <c r="H25" s="66">
        <v>2</v>
      </c>
      <c r="I25" s="66">
        <v>1</v>
      </c>
      <c r="J25" s="66">
        <v>2</v>
      </c>
      <c r="K25" s="66">
        <v>3</v>
      </c>
      <c r="L25" s="66">
        <v>3</v>
      </c>
      <c r="M25" s="66">
        <v>3</v>
      </c>
      <c r="N25" s="66">
        <v>3</v>
      </c>
      <c r="O25" s="66">
        <v>5</v>
      </c>
      <c r="P25" s="66">
        <v>4</v>
      </c>
      <c r="Q25" s="66">
        <v>3</v>
      </c>
      <c r="R25" s="66">
        <v>3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0.4819</v>
      </c>
      <c r="G26" s="87">
        <f>G25*0.0133</f>
        <v>3.9899999999999998E-2</v>
      </c>
      <c r="H26" s="87">
        <f>H25*0.0132</f>
        <v>2.64E-2</v>
      </c>
      <c r="I26" s="87">
        <f>I25*0.0137</f>
        <v>1.37E-2</v>
      </c>
      <c r="J26" s="87">
        <f t="shared" ref="J26:O26" si="4">J25*0.014</f>
        <v>2.8000000000000001E-2</v>
      </c>
      <c r="K26" s="87">
        <f t="shared" si="4"/>
        <v>4.2000000000000003E-2</v>
      </c>
      <c r="L26" s="87">
        <f t="shared" si="4"/>
        <v>4.2000000000000003E-2</v>
      </c>
      <c r="M26" s="87">
        <f t="shared" si="4"/>
        <v>4.2000000000000003E-2</v>
      </c>
      <c r="N26" s="87">
        <f t="shared" si="4"/>
        <v>4.2000000000000003E-2</v>
      </c>
      <c r="O26" s="87">
        <f t="shared" si="4"/>
        <v>7.0000000000000007E-2</v>
      </c>
      <c r="P26" s="87">
        <f>P25*0.0138</f>
        <v>5.5199999999999999E-2</v>
      </c>
      <c r="Q26" s="87">
        <f>Q25*0.0135</f>
        <v>4.0500000000000001E-2</v>
      </c>
      <c r="R26" s="87">
        <f>R25*0.0134</f>
        <v>4.02E-2</v>
      </c>
      <c r="S26" s="72"/>
      <c r="T26" s="81">
        <f t="shared" ref="T26:AE26" si="5">G26*1000/G25</f>
        <v>13.299999999999999</v>
      </c>
      <c r="U26" s="81">
        <f t="shared" si="5"/>
        <v>13.2</v>
      </c>
      <c r="V26" s="81">
        <f t="shared" si="5"/>
        <v>13.700000000000001</v>
      </c>
      <c r="W26" s="81">
        <f t="shared" si="5"/>
        <v>14</v>
      </c>
      <c r="X26" s="81">
        <f t="shared" si="5"/>
        <v>14</v>
      </c>
      <c r="Y26" s="81">
        <f t="shared" si="5"/>
        <v>14</v>
      </c>
      <c r="Z26" s="81">
        <f t="shared" si="5"/>
        <v>14</v>
      </c>
      <c r="AA26" s="81">
        <f t="shared" si="5"/>
        <v>14</v>
      </c>
      <c r="AB26" s="81">
        <f t="shared" si="5"/>
        <v>14</v>
      </c>
      <c r="AC26" s="81">
        <f t="shared" si="5"/>
        <v>13.799999999999999</v>
      </c>
      <c r="AD26" s="81">
        <f t="shared" si="5"/>
        <v>13.5</v>
      </c>
      <c r="AE26" s="81">
        <f t="shared" si="5"/>
        <v>13.4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1" ht="16.5" x14ac:dyDescent="0.3">
      <c r="B29" s="76"/>
      <c r="C29" s="65" t="s">
        <v>35</v>
      </c>
      <c r="D29" s="15" t="s">
        <v>36</v>
      </c>
      <c r="E29" s="66">
        <v>140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72</v>
      </c>
      <c r="G30" s="66">
        <v>7</v>
      </c>
      <c r="H30" s="66">
        <v>5</v>
      </c>
      <c r="I30" s="66">
        <v>6</v>
      </c>
      <c r="J30" s="66">
        <v>5</v>
      </c>
      <c r="K30" s="66">
        <v>6</v>
      </c>
      <c r="L30" s="66">
        <v>6</v>
      </c>
      <c r="M30" s="66">
        <v>6</v>
      </c>
      <c r="N30" s="66">
        <v>5</v>
      </c>
      <c r="O30" s="66">
        <v>5</v>
      </c>
      <c r="P30" s="66">
        <v>6</v>
      </c>
      <c r="Q30" s="66">
        <v>8</v>
      </c>
      <c r="R30" s="66">
        <v>7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4.0320000000000009</v>
      </c>
      <c r="G31" s="87">
        <f>G30*0.056</f>
        <v>0.39200000000000002</v>
      </c>
      <c r="H31" s="87">
        <f>H30*0.056</f>
        <v>0.28000000000000003</v>
      </c>
      <c r="I31" s="87">
        <f t="shared" ref="I31:R31" si="6">I30*0.056</f>
        <v>0.33600000000000002</v>
      </c>
      <c r="J31" s="87">
        <f t="shared" si="6"/>
        <v>0.28000000000000003</v>
      </c>
      <c r="K31" s="87">
        <f t="shared" si="6"/>
        <v>0.33600000000000002</v>
      </c>
      <c r="L31" s="87">
        <f t="shared" si="6"/>
        <v>0.33600000000000002</v>
      </c>
      <c r="M31" s="87">
        <f t="shared" si="6"/>
        <v>0.33600000000000002</v>
      </c>
      <c r="N31" s="87">
        <f t="shared" si="6"/>
        <v>0.28000000000000003</v>
      </c>
      <c r="O31" s="87">
        <f t="shared" si="6"/>
        <v>0.28000000000000003</v>
      </c>
      <c r="P31" s="87">
        <f t="shared" si="6"/>
        <v>0.33600000000000002</v>
      </c>
      <c r="Q31" s="87">
        <f t="shared" si="6"/>
        <v>0.44800000000000001</v>
      </c>
      <c r="R31" s="87">
        <f t="shared" si="6"/>
        <v>0.39200000000000002</v>
      </c>
      <c r="S31" s="72"/>
      <c r="T31" s="81">
        <f t="shared" ref="T31:AE31" si="7">G31*1000/G30</f>
        <v>56</v>
      </c>
      <c r="U31" s="81">
        <f t="shared" si="7"/>
        <v>56</v>
      </c>
      <c r="V31" s="81">
        <f t="shared" si="7"/>
        <v>56</v>
      </c>
      <c r="W31" s="81">
        <f t="shared" si="7"/>
        <v>56</v>
      </c>
      <c r="X31" s="81">
        <f t="shared" si="7"/>
        <v>56</v>
      </c>
      <c r="Y31" s="81">
        <f t="shared" si="7"/>
        <v>56</v>
      </c>
      <c r="Z31" s="81">
        <f t="shared" si="7"/>
        <v>56</v>
      </c>
      <c r="AA31" s="81">
        <f t="shared" si="7"/>
        <v>56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65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/>
      <c r="G33" s="66">
        <v>1</v>
      </c>
      <c r="H33" s="66">
        <v>1</v>
      </c>
      <c r="I33" s="66">
        <v>2</v>
      </c>
      <c r="J33" s="66">
        <v>3</v>
      </c>
      <c r="K33" s="66">
        <v>2</v>
      </c>
      <c r="L33" s="66">
        <v>2</v>
      </c>
      <c r="M33" s="66">
        <v>1</v>
      </c>
      <c r="N33" s="66">
        <v>2</v>
      </c>
      <c r="O33" s="66">
        <v>1</v>
      </c>
      <c r="P33" s="66">
        <v>2</v>
      </c>
      <c r="Q33" s="66">
        <v>1</v>
      </c>
      <c r="R33" s="66">
        <v>2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70"/>
      <c r="G34" s="87">
        <f>G33*0.0132</f>
        <v>1.32E-2</v>
      </c>
      <c r="H34" s="87">
        <f>H33*0.0132</f>
        <v>1.32E-2</v>
      </c>
      <c r="I34" s="87">
        <f t="shared" ref="I34:R34" si="8">I33*0.0132</f>
        <v>2.64E-2</v>
      </c>
      <c r="J34" s="87">
        <f t="shared" si="8"/>
        <v>3.9599999999999996E-2</v>
      </c>
      <c r="K34" s="87">
        <f t="shared" si="8"/>
        <v>2.64E-2</v>
      </c>
      <c r="L34" s="87">
        <f t="shared" si="8"/>
        <v>2.64E-2</v>
      </c>
      <c r="M34" s="87">
        <f t="shared" si="8"/>
        <v>1.32E-2</v>
      </c>
      <c r="N34" s="87">
        <f t="shared" si="8"/>
        <v>2.64E-2</v>
      </c>
      <c r="O34" s="87">
        <f t="shared" si="8"/>
        <v>1.32E-2</v>
      </c>
      <c r="P34" s="87">
        <f t="shared" si="8"/>
        <v>2.64E-2</v>
      </c>
      <c r="Q34" s="87">
        <f t="shared" si="8"/>
        <v>1.32E-2</v>
      </c>
      <c r="R34" s="87">
        <f t="shared" si="8"/>
        <v>2.64E-2</v>
      </c>
      <c r="S34" s="72"/>
      <c r="T34" s="81">
        <f t="shared" ref="T34:AE34" si="9">G34*1000/G33</f>
        <v>13.2</v>
      </c>
      <c r="U34" s="81">
        <f t="shared" si="9"/>
        <v>13.2</v>
      </c>
      <c r="V34" s="81">
        <f t="shared" si="9"/>
        <v>13.2</v>
      </c>
      <c r="W34" s="81">
        <f t="shared" si="9"/>
        <v>13.199999999999998</v>
      </c>
      <c r="X34" s="81">
        <f t="shared" si="9"/>
        <v>13.2</v>
      </c>
      <c r="Y34" s="81">
        <f t="shared" si="9"/>
        <v>13.2</v>
      </c>
      <c r="Z34" s="81">
        <f t="shared" si="9"/>
        <v>13.2</v>
      </c>
      <c r="AA34" s="81">
        <f t="shared" si="9"/>
        <v>13.2</v>
      </c>
      <c r="AB34" s="81">
        <f t="shared" si="9"/>
        <v>13.2</v>
      </c>
      <c r="AC34" s="81">
        <f t="shared" si="9"/>
        <v>13.2</v>
      </c>
      <c r="AD34" s="81">
        <f t="shared" si="9"/>
        <v>13.2</v>
      </c>
      <c r="AE34" s="81">
        <f t="shared" si="9"/>
        <v>13.2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87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72"/>
      <c r="T37" s="81" t="e">
        <f t="shared" ref="T37:AE37" si="10">G37*1000/G36</f>
        <v>#DIV/0!</v>
      </c>
      <c r="U37" s="81" t="e">
        <f t="shared" si="10"/>
        <v>#DIV/0!</v>
      </c>
      <c r="V37" s="81" t="e">
        <f t="shared" si="10"/>
        <v>#DIV/0!</v>
      </c>
      <c r="W37" s="81" t="e">
        <f t="shared" si="10"/>
        <v>#DIV/0!</v>
      </c>
      <c r="X37" s="81" t="e">
        <f t="shared" si="10"/>
        <v>#DIV/0!</v>
      </c>
      <c r="Y37" s="81" t="e">
        <f t="shared" si="10"/>
        <v>#DIV/0!</v>
      </c>
      <c r="Z37" s="81" t="e">
        <f t="shared" si="10"/>
        <v>#DIV/0!</v>
      </c>
      <c r="AA37" s="81" t="e">
        <f t="shared" si="10"/>
        <v>#DIV/0!</v>
      </c>
      <c r="AB37" s="81" t="e">
        <f t="shared" si="10"/>
        <v>#DIV/0!</v>
      </c>
      <c r="AC37" s="81" t="e">
        <f t="shared" si="10"/>
        <v>#DIV/0!</v>
      </c>
      <c r="AD37" s="81" t="e">
        <f t="shared" si="10"/>
        <v>#DIV/0!</v>
      </c>
      <c r="AE37" s="81" t="e">
        <f t="shared" si="10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 t="shared" ref="T42:AE42" si="11">G42*1000/G41</f>
        <v>#DIV/0!</v>
      </c>
      <c r="U42" s="81" t="e">
        <f t="shared" si="11"/>
        <v>#DIV/0!</v>
      </c>
      <c r="V42" s="81" t="e">
        <f t="shared" si="11"/>
        <v>#DIV/0!</v>
      </c>
      <c r="W42" s="81" t="e">
        <f t="shared" si="11"/>
        <v>#DIV/0!</v>
      </c>
      <c r="X42" s="81" t="e">
        <f t="shared" si="11"/>
        <v>#DIV/0!</v>
      </c>
      <c r="Y42" s="81" t="e">
        <f t="shared" si="11"/>
        <v>#DIV/0!</v>
      </c>
      <c r="Z42" s="81" t="e">
        <f t="shared" si="11"/>
        <v>#DIV/0!</v>
      </c>
      <c r="AA42" s="81" t="e">
        <f t="shared" si="11"/>
        <v>#DIV/0!</v>
      </c>
      <c r="AB42" s="81" t="e">
        <f t="shared" si="11"/>
        <v>#DIV/0!</v>
      </c>
      <c r="AC42" s="81" t="e">
        <f t="shared" si="11"/>
        <v>#DIV/0!</v>
      </c>
      <c r="AD42" s="81" t="e">
        <f t="shared" si="11"/>
        <v>#DIV/0!</v>
      </c>
      <c r="AE42" s="81" t="e">
        <f t="shared" si="11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2:19" x14ac:dyDescent="0.2">
      <c r="F52" s="94"/>
    </row>
    <row r="368" spans="10:10" x14ac:dyDescent="0.2">
      <c r="J368" s="123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O23:P23 F17 F2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51"/>
  <sheetViews>
    <sheetView zoomScale="90" zoomScaleNormal="90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E1048576"/>
    </sheetView>
  </sheetViews>
  <sheetFormatPr baseColWidth="10" defaultRowHeight="12.75" x14ac:dyDescent="0.2"/>
  <cols>
    <col min="1" max="1" width="6.140625" customWidth="1"/>
    <col min="4" max="5" width="12.7109375" customWidth="1"/>
    <col min="7" max="18" width="8.7109375" customWidth="1"/>
    <col min="19" max="19" width="5.28515625" customWidth="1"/>
    <col min="20" max="31" width="8.7109375" hidden="1" customWidth="1"/>
  </cols>
  <sheetData>
    <row r="1" spans="1:31" x14ac:dyDescent="0.2">
      <c r="A1" s="144" t="s">
        <v>0</v>
      </c>
      <c r="B1" s="144"/>
      <c r="C1" s="144"/>
      <c r="D1" s="144"/>
      <c r="E1" s="144"/>
      <c r="R1" t="s">
        <v>74</v>
      </c>
    </row>
    <row r="2" spans="1:31" x14ac:dyDescent="0.2">
      <c r="A2" s="144" t="s">
        <v>1</v>
      </c>
      <c r="B2" s="144"/>
      <c r="C2" s="144"/>
      <c r="D2" s="144"/>
      <c r="E2" s="1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 t="s">
        <v>91</v>
      </c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78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2025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600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575</v>
      </c>
      <c r="G15" s="66">
        <v>57</v>
      </c>
      <c r="H15" s="66">
        <v>54</v>
      </c>
      <c r="I15" s="66">
        <v>52</v>
      </c>
      <c r="J15" s="66">
        <v>36</v>
      </c>
      <c r="K15" s="66">
        <v>42</v>
      </c>
      <c r="L15" s="66">
        <v>49</v>
      </c>
      <c r="M15" s="66">
        <v>42</v>
      </c>
      <c r="N15" s="66">
        <v>43</v>
      </c>
      <c r="O15" s="66">
        <v>47</v>
      </c>
      <c r="P15" s="66">
        <v>49</v>
      </c>
      <c r="Q15" s="66">
        <v>51</v>
      </c>
      <c r="R15" s="66">
        <v>53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1.28871</v>
      </c>
      <c r="G16" s="87">
        <f>G15*0.00225</f>
        <v>0.12825</v>
      </c>
      <c r="H16" s="87">
        <f>H15*0.00225</f>
        <v>0.1215</v>
      </c>
      <c r="I16" s="87">
        <f>I15*0.00225</f>
        <v>0.11699999999999999</v>
      </c>
      <c r="J16" s="87">
        <f>J15*0.00225</f>
        <v>8.0999999999999989E-2</v>
      </c>
      <c r="K16" s="87">
        <f>K15*0.00224</f>
        <v>9.4079999999999997E-2</v>
      </c>
      <c r="L16" s="87">
        <f>L15*0.00223</f>
        <v>0.10927000000000001</v>
      </c>
      <c r="M16" s="87">
        <f>M15*0.00223</f>
        <v>9.3660000000000007E-2</v>
      </c>
      <c r="N16" s="87">
        <f>N15*0.00223</f>
        <v>9.5890000000000003E-2</v>
      </c>
      <c r="O16" s="87">
        <f>O15*0.00223</f>
        <v>0.10481000000000001</v>
      </c>
      <c r="P16" s="87">
        <f>P15*0.00224</f>
        <v>0.10976</v>
      </c>
      <c r="Q16" s="87">
        <f>Q15*0.00224</f>
        <v>0.11423999999999999</v>
      </c>
      <c r="R16" s="87">
        <f>R15*0.00225</f>
        <v>0.11924999999999999</v>
      </c>
      <c r="S16" s="72"/>
      <c r="T16" s="81">
        <f t="shared" ref="T16:AE16" si="0">G16*1000/G15</f>
        <v>2.25</v>
      </c>
      <c r="U16" s="81">
        <f t="shared" si="0"/>
        <v>2.25</v>
      </c>
      <c r="V16" s="81">
        <f t="shared" si="0"/>
        <v>2.25</v>
      </c>
      <c r="W16" s="81">
        <f t="shared" si="0"/>
        <v>2.2499999999999996</v>
      </c>
      <c r="X16" s="81">
        <f t="shared" si="0"/>
        <v>2.2399999999999998</v>
      </c>
      <c r="Y16" s="81">
        <f t="shared" si="0"/>
        <v>2.2300000000000004</v>
      </c>
      <c r="Z16" s="81">
        <f t="shared" si="0"/>
        <v>2.2300000000000004</v>
      </c>
      <c r="AA16" s="81">
        <f t="shared" si="0"/>
        <v>2.23</v>
      </c>
      <c r="AB16" s="81">
        <f t="shared" si="0"/>
        <v>2.2300000000000004</v>
      </c>
      <c r="AC16" s="81">
        <f t="shared" si="0"/>
        <v>2.2399999999999998</v>
      </c>
      <c r="AD16" s="81">
        <f t="shared" si="0"/>
        <v>2.2399999999999998</v>
      </c>
      <c r="AE16" s="81">
        <f t="shared" si="0"/>
        <v>2.25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145.16666666666666</v>
      </c>
      <c r="G17" s="66">
        <v>160</v>
      </c>
      <c r="H17" s="66">
        <v>155</v>
      </c>
      <c r="I17" s="66">
        <v>103</v>
      </c>
      <c r="J17" s="66">
        <v>110</v>
      </c>
      <c r="K17" s="66">
        <v>115</v>
      </c>
      <c r="L17" s="66">
        <v>118</v>
      </c>
      <c r="M17" s="66">
        <v>115</v>
      </c>
      <c r="N17" s="66">
        <v>180</v>
      </c>
      <c r="O17" s="66">
        <v>192</v>
      </c>
      <c r="P17" s="66">
        <v>162</v>
      </c>
      <c r="Q17" s="66">
        <v>167</v>
      </c>
      <c r="R17" s="66">
        <v>165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78"/>
      <c r="F18" s="87">
        <f>SUM(G18:R18)</f>
        <v>1.2832500000000002</v>
      </c>
      <c r="G18" s="87">
        <f>((G17*13)/16)/1000</f>
        <v>0.13</v>
      </c>
      <c r="H18" s="87">
        <f>((H17*13)/16)/1000</f>
        <v>0.12593750000000001</v>
      </c>
      <c r="I18" s="87">
        <f>((I17*13)/16)/1000</f>
        <v>8.3687499999999998E-2</v>
      </c>
      <c r="J18" s="87">
        <f>((J17*13)/16)/1000</f>
        <v>8.9374999999999996E-2</v>
      </c>
      <c r="K18" s="87">
        <f>((K17*12)/16)/1000</f>
        <v>8.6249999999999993E-2</v>
      </c>
      <c r="L18" s="87">
        <f>((L17*11)/16)/1000</f>
        <v>8.1125000000000003E-2</v>
      </c>
      <c r="M18" s="87">
        <f>((M17*10)/16)/1000</f>
        <v>7.1874999999999994E-2</v>
      </c>
      <c r="N18" s="87">
        <f>((N17*10)/16)/1000</f>
        <v>0.1125</v>
      </c>
      <c r="O18" s="87">
        <f>((O17*11)/16)/1000</f>
        <v>0.13200000000000001</v>
      </c>
      <c r="P18" s="87">
        <f>((P17*12)/16)/1000</f>
        <v>0.1215</v>
      </c>
      <c r="Q18" s="87">
        <f>((Q17*12)/16)/1000</f>
        <v>0.12525</v>
      </c>
      <c r="R18" s="87">
        <f>((R17*12)/16)/1000</f>
        <v>0.12375</v>
      </c>
      <c r="S18" s="72"/>
      <c r="T18" s="81">
        <f t="shared" ref="T18:AE18" si="1">(G18*1000/G17)*16</f>
        <v>13</v>
      </c>
      <c r="U18" s="81">
        <f t="shared" si="1"/>
        <v>13.000000000000002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50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15</v>
      </c>
      <c r="G20" s="66">
        <v>1</v>
      </c>
      <c r="H20" s="66">
        <v>1</v>
      </c>
      <c r="I20" s="66">
        <v>1</v>
      </c>
      <c r="J20" s="66">
        <v>2</v>
      </c>
      <c r="K20" s="66">
        <v>1</v>
      </c>
      <c r="L20" s="66">
        <v>1</v>
      </c>
      <c r="M20" s="66">
        <v>2</v>
      </c>
      <c r="N20" s="66">
        <v>1</v>
      </c>
      <c r="O20" s="66">
        <v>1</v>
      </c>
      <c r="P20" s="66">
        <v>1</v>
      </c>
      <c r="Q20" s="66">
        <v>2</v>
      </c>
      <c r="R20" s="66">
        <v>1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71"/>
      <c r="F21" s="87">
        <f>SUM(G21:R21)</f>
        <v>2.5989999999999993</v>
      </c>
      <c r="G21" s="87">
        <f>G20*0.175</f>
        <v>0.17499999999999999</v>
      </c>
      <c r="H21" s="87">
        <f>H20*0.17</f>
        <v>0.17</v>
      </c>
      <c r="I21" s="87">
        <f>I20*0.171</f>
        <v>0.17100000000000001</v>
      </c>
      <c r="J21" s="87">
        <f>J20*0.172</f>
        <v>0.34399999999999997</v>
      </c>
      <c r="K21" s="87">
        <f>K20*0.173</f>
        <v>0.17299999999999999</v>
      </c>
      <c r="L21" s="87">
        <f t="shared" ref="L21:Q21" si="2">L20*0.174</f>
        <v>0.17399999999999999</v>
      </c>
      <c r="M21" s="87">
        <f t="shared" si="2"/>
        <v>0.34799999999999998</v>
      </c>
      <c r="N21" s="87">
        <f t="shared" si="2"/>
        <v>0.17399999999999999</v>
      </c>
      <c r="O21" s="87">
        <f t="shared" si="2"/>
        <v>0.17399999999999999</v>
      </c>
      <c r="P21" s="87">
        <f t="shared" si="2"/>
        <v>0.17399999999999999</v>
      </c>
      <c r="Q21" s="87">
        <f t="shared" si="2"/>
        <v>0.34799999999999998</v>
      </c>
      <c r="R21" s="87">
        <f>R20*0.174</f>
        <v>0.17399999999999999</v>
      </c>
      <c r="S21" s="72"/>
      <c r="T21" s="81">
        <f t="shared" ref="T21:AE21" si="3">G21*1000/G20</f>
        <v>175</v>
      </c>
      <c r="U21" s="81">
        <f t="shared" si="3"/>
        <v>170</v>
      </c>
      <c r="V21" s="81">
        <f t="shared" si="3"/>
        <v>171</v>
      </c>
      <c r="W21" s="81">
        <f t="shared" si="3"/>
        <v>172</v>
      </c>
      <c r="X21" s="81">
        <f t="shared" si="3"/>
        <v>173</v>
      </c>
      <c r="Y21" s="81">
        <f t="shared" si="3"/>
        <v>174</v>
      </c>
      <c r="Z21" s="81">
        <f t="shared" si="3"/>
        <v>174</v>
      </c>
      <c r="AA21" s="81">
        <f t="shared" si="3"/>
        <v>174</v>
      </c>
      <c r="AB21" s="81">
        <f t="shared" si="3"/>
        <v>174</v>
      </c>
      <c r="AC21" s="81">
        <f t="shared" si="3"/>
        <v>174</v>
      </c>
      <c r="AD21" s="81">
        <f t="shared" si="3"/>
        <v>174</v>
      </c>
      <c r="AE21" s="81">
        <f t="shared" si="3"/>
        <v>174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8.6666666666666661</v>
      </c>
      <c r="G22" s="66">
        <v>10</v>
      </c>
      <c r="H22" s="66">
        <v>9</v>
      </c>
      <c r="I22" s="66">
        <v>10</v>
      </c>
      <c r="J22" s="66">
        <v>9</v>
      </c>
      <c r="K22" s="66">
        <v>10</v>
      </c>
      <c r="L22" s="66">
        <v>8</v>
      </c>
      <c r="M22" s="66">
        <v>10</v>
      </c>
      <c r="N22" s="66">
        <v>11</v>
      </c>
      <c r="O22" s="66">
        <v>9</v>
      </c>
      <c r="P22" s="66">
        <v>8</v>
      </c>
      <c r="Q22" s="66">
        <v>6</v>
      </c>
      <c r="R22" s="66">
        <v>4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71"/>
      <c r="F23" s="116">
        <f>SUM(G23:R23)</f>
        <v>28.749579999999995</v>
      </c>
      <c r="G23" s="87">
        <f>G22*9.27*28/1000</f>
        <v>2.5955999999999992</v>
      </c>
      <c r="H23" s="87">
        <f>H22*8.55*29/1000</f>
        <v>2.2315500000000004</v>
      </c>
      <c r="I23" s="87">
        <f>I22*9*31/1000</f>
        <v>2.79</v>
      </c>
      <c r="J23" s="87">
        <f>J22*9.12*30/1000</f>
        <v>2.4624000000000001</v>
      </c>
      <c r="K23" s="87">
        <f>K22*9.18*31/1000</f>
        <v>2.8457999999999997</v>
      </c>
      <c r="L23" s="87">
        <f>L22*9.2*30/1000</f>
        <v>2.2080000000000002</v>
      </c>
      <c r="M23" s="87">
        <f>M22*9.22*31/1000</f>
        <v>2.8582000000000001</v>
      </c>
      <c r="N23" s="87">
        <f>N22*9.23*31/1000</f>
        <v>3.1474299999999999</v>
      </c>
      <c r="O23" s="87">
        <f>O22*9.24*30/1000</f>
        <v>2.4947999999999997</v>
      </c>
      <c r="P23" s="87">
        <f>P22*9.26*31/1000</f>
        <v>2.2964799999999999</v>
      </c>
      <c r="Q23" s="87">
        <f>Q22*9.27*30/1000</f>
        <v>1.6685999999999999</v>
      </c>
      <c r="R23" s="87">
        <f>R22*9.28*31/1000</f>
        <v>1.15072</v>
      </c>
      <c r="S23" s="72"/>
      <c r="T23" s="81">
        <f>(G23*1000/G22)/31</f>
        <v>8.37290322580645</v>
      </c>
      <c r="U23" s="81">
        <f>(H23*1000/H22)/28</f>
        <v>8.8553571428571427</v>
      </c>
      <c r="V23" s="81">
        <f>(I23*1000/I22)/31</f>
        <v>9</v>
      </c>
      <c r="W23" s="81">
        <f>(J23*1000/J22)/30</f>
        <v>9.120000000000001</v>
      </c>
      <c r="X23" s="81">
        <f>(K23*1000/K22)/31</f>
        <v>9.18</v>
      </c>
      <c r="Y23" s="81">
        <f>(L23*1000/L22)/30</f>
        <v>9.1999999999999993</v>
      </c>
      <c r="Z23" s="81">
        <f>(M23*1000/M22)/31</f>
        <v>9.2200000000000024</v>
      </c>
      <c r="AA23" s="81">
        <f>(N23*1000/N22)/31</f>
        <v>9.23</v>
      </c>
      <c r="AB23" s="81">
        <f>(O23*1000/O22)/30</f>
        <v>9.24</v>
      </c>
      <c r="AC23" s="81">
        <f>(P23*1000/P22)/31</f>
        <v>9.26</v>
      </c>
      <c r="AD23" s="81">
        <f>(Q23*1000/Q22)/30</f>
        <v>9.27</v>
      </c>
      <c r="AE23" s="81">
        <f>(R23*1000/R22)/31</f>
        <v>9.2799999999999994</v>
      </c>
    </row>
    <row r="24" spans="2:31" ht="16.5" x14ac:dyDescent="0.3">
      <c r="B24" s="76"/>
      <c r="C24" s="65" t="s">
        <v>35</v>
      </c>
      <c r="D24" s="15" t="s">
        <v>36</v>
      </c>
      <c r="E24" s="66">
        <v>140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67</v>
      </c>
      <c r="G25" s="66">
        <v>4</v>
      </c>
      <c r="H25" s="66">
        <v>5</v>
      </c>
      <c r="I25" s="66">
        <v>4</v>
      </c>
      <c r="J25" s="66">
        <v>3</v>
      </c>
      <c r="K25" s="66">
        <v>4</v>
      </c>
      <c r="L25" s="66">
        <v>5</v>
      </c>
      <c r="M25" s="66">
        <v>5</v>
      </c>
      <c r="N25" s="66">
        <v>6</v>
      </c>
      <c r="O25" s="66">
        <v>8</v>
      </c>
      <c r="P25" s="66">
        <v>6</v>
      </c>
      <c r="Q25" s="66">
        <v>7</v>
      </c>
      <c r="R25" s="66">
        <v>10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1.1133</v>
      </c>
      <c r="G26" s="87">
        <f>G25*0.0162</f>
        <v>6.4799999999999996E-2</v>
      </c>
      <c r="H26" s="87">
        <f>H25*0.016</f>
        <v>0.08</v>
      </c>
      <c r="I26" s="87">
        <f>I25*0.0165</f>
        <v>6.6000000000000003E-2</v>
      </c>
      <c r="J26" s="87">
        <f>J25*0.017</f>
        <v>5.1000000000000004E-2</v>
      </c>
      <c r="K26" s="87">
        <f>K25*0.017</f>
        <v>6.8000000000000005E-2</v>
      </c>
      <c r="L26" s="87">
        <f>L25*0.017</f>
        <v>8.5000000000000006E-2</v>
      </c>
      <c r="M26" s="87">
        <f>M25*0.017</f>
        <v>8.5000000000000006E-2</v>
      </c>
      <c r="N26" s="87">
        <f>N25*0.0168</f>
        <v>0.1008</v>
      </c>
      <c r="O26" s="87">
        <f>O25*0.0169</f>
        <v>0.13519999999999999</v>
      </c>
      <c r="P26" s="87">
        <f>P25*0.0165</f>
        <v>9.9000000000000005E-2</v>
      </c>
      <c r="Q26" s="87">
        <f>Q25*0.0165</f>
        <v>0.11550000000000001</v>
      </c>
      <c r="R26" s="87">
        <f>R25*0.0163</f>
        <v>0.16299999999999998</v>
      </c>
      <c r="S26" s="72"/>
      <c r="T26" s="81">
        <f t="shared" ref="T26:AE26" si="4">G26*1000/G25</f>
        <v>16.2</v>
      </c>
      <c r="U26" s="81">
        <f t="shared" si="4"/>
        <v>16</v>
      </c>
      <c r="V26" s="81">
        <f t="shared" si="4"/>
        <v>16.5</v>
      </c>
      <c r="W26" s="81">
        <f t="shared" si="4"/>
        <v>17.000000000000004</v>
      </c>
      <c r="X26" s="81">
        <f t="shared" si="4"/>
        <v>17</v>
      </c>
      <c r="Y26" s="81">
        <f t="shared" si="4"/>
        <v>17</v>
      </c>
      <c r="Z26" s="81">
        <f t="shared" si="4"/>
        <v>17</v>
      </c>
      <c r="AA26" s="81">
        <f t="shared" si="4"/>
        <v>16.8</v>
      </c>
      <c r="AB26" s="81">
        <f t="shared" si="4"/>
        <v>16.899999999999999</v>
      </c>
      <c r="AC26" s="81">
        <f t="shared" si="4"/>
        <v>16.5</v>
      </c>
      <c r="AD26" s="81">
        <f t="shared" si="4"/>
        <v>16.5</v>
      </c>
      <c r="AE26" s="81">
        <f t="shared" si="4"/>
        <v>16.299999999999997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1" ht="16.5" x14ac:dyDescent="0.3">
      <c r="B29" s="76"/>
      <c r="C29" s="65" t="s">
        <v>35</v>
      </c>
      <c r="D29" s="15" t="s">
        <v>36</v>
      </c>
      <c r="E29" s="66">
        <v>150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88</v>
      </c>
      <c r="G30" s="66">
        <v>6</v>
      </c>
      <c r="H30" s="66">
        <v>5</v>
      </c>
      <c r="I30" s="66">
        <v>4</v>
      </c>
      <c r="J30" s="66">
        <v>4</v>
      </c>
      <c r="K30" s="66">
        <v>5</v>
      </c>
      <c r="L30" s="66">
        <v>7</v>
      </c>
      <c r="M30" s="66">
        <v>9</v>
      </c>
      <c r="N30" s="66">
        <v>11</v>
      </c>
      <c r="O30" s="66">
        <v>10</v>
      </c>
      <c r="P30" s="66">
        <v>7</v>
      </c>
      <c r="Q30" s="66">
        <v>11</v>
      </c>
      <c r="R30" s="66">
        <v>9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4.9280000000000008</v>
      </c>
      <c r="G31" s="87">
        <f t="shared" ref="G31:L31" si="5">G30*0.056</f>
        <v>0.33600000000000002</v>
      </c>
      <c r="H31" s="87">
        <f t="shared" si="5"/>
        <v>0.28000000000000003</v>
      </c>
      <c r="I31" s="87">
        <f t="shared" si="5"/>
        <v>0.224</v>
      </c>
      <c r="J31" s="87">
        <f t="shared" si="5"/>
        <v>0.224</v>
      </c>
      <c r="K31" s="87">
        <f t="shared" si="5"/>
        <v>0.28000000000000003</v>
      </c>
      <c r="L31" s="87">
        <f t="shared" si="5"/>
        <v>0.39200000000000002</v>
      </c>
      <c r="M31" s="87">
        <f t="shared" ref="M31:R31" si="6">M30*0.056</f>
        <v>0.504</v>
      </c>
      <c r="N31" s="87">
        <f t="shared" si="6"/>
        <v>0.61599999999999999</v>
      </c>
      <c r="O31" s="87">
        <f t="shared" si="6"/>
        <v>0.56000000000000005</v>
      </c>
      <c r="P31" s="87">
        <f t="shared" si="6"/>
        <v>0.39200000000000002</v>
      </c>
      <c r="Q31" s="87">
        <f t="shared" si="6"/>
        <v>0.61599999999999999</v>
      </c>
      <c r="R31" s="87">
        <f t="shared" si="6"/>
        <v>0.504</v>
      </c>
      <c r="S31" s="72"/>
      <c r="T31" s="81">
        <f t="shared" ref="T31:AE31" si="7">G31*1000/G30</f>
        <v>56</v>
      </c>
      <c r="U31" s="81">
        <f t="shared" si="7"/>
        <v>56</v>
      </c>
      <c r="V31" s="81">
        <f t="shared" si="7"/>
        <v>56</v>
      </c>
      <c r="W31" s="81">
        <f t="shared" si="7"/>
        <v>56</v>
      </c>
      <c r="X31" s="81">
        <f t="shared" si="7"/>
        <v>56</v>
      </c>
      <c r="Y31" s="81">
        <f t="shared" si="7"/>
        <v>56</v>
      </c>
      <c r="Z31" s="81">
        <f t="shared" si="7"/>
        <v>56</v>
      </c>
      <c r="AA31" s="81">
        <f t="shared" si="7"/>
        <v>56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380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87</v>
      </c>
      <c r="G33" s="66">
        <v>5</v>
      </c>
      <c r="H33" s="66">
        <v>6</v>
      </c>
      <c r="I33" s="66">
        <v>5</v>
      </c>
      <c r="J33" s="66">
        <v>6</v>
      </c>
      <c r="K33" s="66">
        <v>8</v>
      </c>
      <c r="L33" s="66">
        <v>10</v>
      </c>
      <c r="M33" s="66">
        <v>8</v>
      </c>
      <c r="N33" s="66">
        <v>7</v>
      </c>
      <c r="O33" s="66">
        <v>8</v>
      </c>
      <c r="P33" s="66">
        <v>10</v>
      </c>
      <c r="Q33" s="66">
        <v>6</v>
      </c>
      <c r="R33" s="66">
        <v>8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1.1904999999999999</v>
      </c>
      <c r="G34" s="87">
        <f>G33*0.0132</f>
        <v>6.6000000000000003E-2</v>
      </c>
      <c r="H34" s="87">
        <f>H33*0.013</f>
        <v>7.8E-2</v>
      </c>
      <c r="I34" s="87">
        <f>I33*0.0135</f>
        <v>6.7500000000000004E-2</v>
      </c>
      <c r="J34" s="87">
        <f>J33*0.0138</f>
        <v>8.2799999999999999E-2</v>
      </c>
      <c r="K34" s="87">
        <f>K33*0.0135</f>
        <v>0.108</v>
      </c>
      <c r="L34" s="87">
        <f>L33*0.014</f>
        <v>0.14000000000000001</v>
      </c>
      <c r="M34" s="87">
        <f>M33*0.014</f>
        <v>0.112</v>
      </c>
      <c r="N34" s="87">
        <f>N33*0.014</f>
        <v>9.8000000000000004E-2</v>
      </c>
      <c r="O34" s="87">
        <f>O33*0.014</f>
        <v>0.112</v>
      </c>
      <c r="P34" s="87">
        <f>P33*0.0138</f>
        <v>0.13800000000000001</v>
      </c>
      <c r="Q34" s="87">
        <f>Q33*0.0135</f>
        <v>8.1000000000000003E-2</v>
      </c>
      <c r="R34" s="87">
        <f>R33*0.0134</f>
        <v>0.1072</v>
      </c>
      <c r="S34" s="72"/>
      <c r="T34" s="81">
        <f t="shared" ref="T34:AE34" si="8">G34*1000/G33</f>
        <v>13.2</v>
      </c>
      <c r="U34" s="81">
        <f t="shared" si="8"/>
        <v>13</v>
      </c>
      <c r="V34" s="81">
        <f t="shared" si="8"/>
        <v>13.5</v>
      </c>
      <c r="W34" s="81">
        <f t="shared" si="8"/>
        <v>13.799999999999999</v>
      </c>
      <c r="X34" s="81">
        <f t="shared" si="8"/>
        <v>13.5</v>
      </c>
      <c r="Y34" s="81">
        <f t="shared" si="8"/>
        <v>14</v>
      </c>
      <c r="Z34" s="81">
        <f t="shared" si="8"/>
        <v>14</v>
      </c>
      <c r="AA34" s="81">
        <f t="shared" si="8"/>
        <v>14</v>
      </c>
      <c r="AB34" s="81">
        <f t="shared" si="8"/>
        <v>14</v>
      </c>
      <c r="AC34" s="81">
        <f t="shared" si="8"/>
        <v>13.8</v>
      </c>
      <c r="AD34" s="81">
        <f t="shared" si="8"/>
        <v>13.5</v>
      </c>
      <c r="AE34" s="81">
        <f t="shared" si="8"/>
        <v>13.4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72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F17 F22 J3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J51"/>
  <sheetViews>
    <sheetView zoomScale="84" zoomScaleNormal="84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J1048576"/>
    </sheetView>
  </sheetViews>
  <sheetFormatPr baseColWidth="10" defaultRowHeight="12.75" x14ac:dyDescent="0.2"/>
  <cols>
    <col min="1" max="1" width="5.7109375" customWidth="1"/>
    <col min="4" max="4" width="12.5703125" customWidth="1"/>
    <col min="5" max="5" width="11.7109375" customWidth="1"/>
    <col min="7" max="18" width="8.7109375" customWidth="1"/>
    <col min="19" max="19" width="6" customWidth="1"/>
    <col min="20" max="32" width="8.7109375" hidden="1" customWidth="1"/>
    <col min="33" max="34" width="0" hidden="1" customWidth="1"/>
    <col min="35" max="35" width="12.5703125" hidden="1" customWidth="1"/>
    <col min="36" max="36" width="0" hidden="1" customWidth="1"/>
  </cols>
  <sheetData>
    <row r="1" spans="1:31" x14ac:dyDescent="0.2">
      <c r="A1" s="144" t="s">
        <v>0</v>
      </c>
      <c r="B1" s="144"/>
      <c r="C1" s="144"/>
      <c r="D1" s="144"/>
      <c r="E1" s="144"/>
    </row>
    <row r="2" spans="1:31" x14ac:dyDescent="0.2">
      <c r="A2" s="144" t="s">
        <v>1</v>
      </c>
      <c r="B2" s="144"/>
      <c r="C2" s="144"/>
      <c r="D2" s="144"/>
      <c r="E2" s="1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t="s">
        <v>74</v>
      </c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79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2025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850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887</v>
      </c>
      <c r="G15" s="66">
        <v>89</v>
      </c>
      <c r="H15" s="66">
        <v>87</v>
      </c>
      <c r="I15" s="66">
        <v>76</v>
      </c>
      <c r="J15" s="66">
        <v>70</v>
      </c>
      <c r="K15" s="66">
        <v>73</v>
      </c>
      <c r="L15" s="66">
        <v>78</v>
      </c>
      <c r="M15" s="66">
        <v>68</v>
      </c>
      <c r="N15" s="66">
        <v>65</v>
      </c>
      <c r="O15" s="66">
        <v>71</v>
      </c>
      <c r="P15" s="66">
        <v>49</v>
      </c>
      <c r="Q15" s="66">
        <v>79</v>
      </c>
      <c r="R15" s="66">
        <v>82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1.9779</v>
      </c>
      <c r="G16" s="87">
        <f>G15*0.00224</f>
        <v>0.19935999999999998</v>
      </c>
      <c r="H16" s="87">
        <f>H15*0.00224</f>
        <v>0.19487999999999997</v>
      </c>
      <c r="I16" s="87">
        <f>I15*0.00224</f>
        <v>0.17023999999999997</v>
      </c>
      <c r="J16" s="87">
        <f>J15*0.00224</f>
        <v>0.15679999999999999</v>
      </c>
      <c r="K16" s="87">
        <f>K15*0.00223</f>
        <v>0.16279000000000002</v>
      </c>
      <c r="L16" s="87">
        <f>L15*0.00222</f>
        <v>0.17316000000000001</v>
      </c>
      <c r="M16" s="87">
        <f>M15*0.00221</f>
        <v>0.15028000000000002</v>
      </c>
      <c r="N16" s="87">
        <f>N15*0.00221</f>
        <v>0.14365</v>
      </c>
      <c r="O16" s="87">
        <f>O15*0.00222</f>
        <v>0.15762000000000001</v>
      </c>
      <c r="P16" s="87">
        <f>P15*0.00223</f>
        <v>0.10927000000000001</v>
      </c>
      <c r="Q16" s="87">
        <f>Q15*0.00223</f>
        <v>0.17617000000000002</v>
      </c>
      <c r="R16" s="87">
        <f>R15*0.00224</f>
        <v>0.18367999999999998</v>
      </c>
      <c r="S16" s="72"/>
      <c r="T16" s="81">
        <f>G16*1000/G15</f>
        <v>2.2399999999999998</v>
      </c>
      <c r="U16" s="81">
        <f t="shared" ref="U16:AE16" si="0">H16*1000/H15</f>
        <v>2.2399999999999998</v>
      </c>
      <c r="V16" s="81">
        <f t="shared" si="0"/>
        <v>2.2399999999999998</v>
      </c>
      <c r="W16" s="81">
        <f t="shared" si="0"/>
        <v>2.2399999999999998</v>
      </c>
      <c r="X16" s="81">
        <f t="shared" si="0"/>
        <v>2.2300000000000004</v>
      </c>
      <c r="Y16" s="81">
        <f t="shared" si="0"/>
        <v>2.2199999999999998</v>
      </c>
      <c r="Z16" s="81">
        <f t="shared" si="0"/>
        <v>2.2100000000000004</v>
      </c>
      <c r="AA16" s="81">
        <f t="shared" si="0"/>
        <v>2.21</v>
      </c>
      <c r="AB16" s="81">
        <f t="shared" si="0"/>
        <v>2.2200000000000002</v>
      </c>
      <c r="AC16" s="81">
        <f t="shared" si="0"/>
        <v>2.2300000000000004</v>
      </c>
      <c r="AD16" s="81">
        <f t="shared" si="0"/>
        <v>2.23</v>
      </c>
      <c r="AE16" s="81">
        <f t="shared" si="0"/>
        <v>2.2399999999999998</v>
      </c>
    </row>
    <row r="17" spans="2:36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177.16666666666666</v>
      </c>
      <c r="G17" s="66">
        <v>250</v>
      </c>
      <c r="H17" s="66">
        <v>245</v>
      </c>
      <c r="I17" s="66">
        <v>147</v>
      </c>
      <c r="J17" s="66">
        <v>150</v>
      </c>
      <c r="K17" s="66">
        <v>148</v>
      </c>
      <c r="L17" s="66">
        <v>150</v>
      </c>
      <c r="M17" s="66">
        <v>195</v>
      </c>
      <c r="N17" s="66">
        <v>190</v>
      </c>
      <c r="O17" s="66">
        <v>185</v>
      </c>
      <c r="P17" s="66">
        <v>162</v>
      </c>
      <c r="Q17" s="66">
        <v>154</v>
      </c>
      <c r="R17" s="66">
        <v>150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6" ht="16.5" x14ac:dyDescent="0.3">
      <c r="B18" s="74" t="s">
        <v>46</v>
      </c>
      <c r="C18" s="61"/>
      <c r="D18" s="15" t="s">
        <v>41</v>
      </c>
      <c r="E18" s="66"/>
      <c r="F18" s="87">
        <f>SUM(G18:R18)</f>
        <v>1.5593124999999999</v>
      </c>
      <c r="G18" s="87">
        <f>((G17*12)/16)/1000</f>
        <v>0.1875</v>
      </c>
      <c r="H18" s="87">
        <f>((H17*13)/16)/1000</f>
        <v>0.1990625</v>
      </c>
      <c r="I18" s="87">
        <f>((I17*13)/16)/1000</f>
        <v>0.1194375</v>
      </c>
      <c r="J18" s="87">
        <f>((J17*13)/16)/1000</f>
        <v>0.121875</v>
      </c>
      <c r="K18" s="87">
        <f>((K17*12)/16)/1000</f>
        <v>0.111</v>
      </c>
      <c r="L18" s="87">
        <f>((L17*11)/16)/1000</f>
        <v>0.10312499999999999</v>
      </c>
      <c r="M18" s="87">
        <f>((M17*10)/16)/1000</f>
        <v>0.121875</v>
      </c>
      <c r="N18" s="87">
        <f>((N17*10)/16)/1000</f>
        <v>0.11874999999999999</v>
      </c>
      <c r="O18" s="87">
        <f>((O17*11)/16)/1000</f>
        <v>0.12718750000000001</v>
      </c>
      <c r="P18" s="87">
        <f>((P17*12)/16)/1000</f>
        <v>0.1215</v>
      </c>
      <c r="Q18" s="87">
        <f>((Q17*12)/16)/1000</f>
        <v>0.11550000000000001</v>
      </c>
      <c r="R18" s="87">
        <f>((R17*12)/16)/1000</f>
        <v>0.1125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11.000000000000002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6" ht="16.5" x14ac:dyDescent="0.3">
      <c r="B19" s="76"/>
      <c r="C19" s="65" t="s">
        <v>35</v>
      </c>
      <c r="D19" s="15" t="s">
        <v>36</v>
      </c>
      <c r="E19" s="66">
        <v>130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6" ht="16.5" x14ac:dyDescent="0.3">
      <c r="B20" s="76"/>
      <c r="C20" s="68" t="s">
        <v>38</v>
      </c>
      <c r="D20" s="15" t="s">
        <v>48</v>
      </c>
      <c r="E20" s="66"/>
      <c r="F20" s="66">
        <f>SUM(G20:R20)</f>
        <v>26</v>
      </c>
      <c r="G20" s="66">
        <v>3</v>
      </c>
      <c r="H20" s="66">
        <v>2</v>
      </c>
      <c r="I20" s="66">
        <v>1</v>
      </c>
      <c r="J20" s="66">
        <v>2</v>
      </c>
      <c r="K20" s="66">
        <v>2</v>
      </c>
      <c r="L20" s="66">
        <v>1</v>
      </c>
      <c r="M20" s="66">
        <v>2</v>
      </c>
      <c r="N20" s="66">
        <v>3</v>
      </c>
      <c r="O20" s="66">
        <v>4</v>
      </c>
      <c r="P20" s="66">
        <v>3</v>
      </c>
      <c r="Q20" s="66">
        <v>2</v>
      </c>
      <c r="R20" s="66">
        <v>1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6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4.5590000000000011</v>
      </c>
      <c r="G21" s="87">
        <f>G20*0.176</f>
        <v>0.52800000000000002</v>
      </c>
      <c r="H21" s="87">
        <f>H20*0.172</f>
        <v>0.34399999999999997</v>
      </c>
      <c r="I21" s="87">
        <f>I20*0.173</f>
        <v>0.17299999999999999</v>
      </c>
      <c r="J21" s="87">
        <f>J20*0.174</f>
        <v>0.34799999999999998</v>
      </c>
      <c r="K21" s="87">
        <f>K20*0.175</f>
        <v>0.35</v>
      </c>
      <c r="L21" s="87">
        <f t="shared" ref="L21:Q21" si="2">L20*0.176</f>
        <v>0.17599999999999999</v>
      </c>
      <c r="M21" s="87">
        <f t="shared" si="2"/>
        <v>0.35199999999999998</v>
      </c>
      <c r="N21" s="87">
        <f t="shared" si="2"/>
        <v>0.52800000000000002</v>
      </c>
      <c r="O21" s="87">
        <f t="shared" si="2"/>
        <v>0.70399999999999996</v>
      </c>
      <c r="P21" s="87">
        <f t="shared" si="2"/>
        <v>0.52800000000000002</v>
      </c>
      <c r="Q21" s="87">
        <f t="shared" si="2"/>
        <v>0.35199999999999998</v>
      </c>
      <c r="R21" s="87">
        <f>R20*0.176</f>
        <v>0.17599999999999999</v>
      </c>
      <c r="S21" s="72"/>
      <c r="T21" s="81">
        <f>G21*1000/G20</f>
        <v>176</v>
      </c>
      <c r="U21" s="81">
        <f t="shared" ref="U21:AE21" si="3">H21*1000/H20</f>
        <v>172</v>
      </c>
      <c r="V21" s="81">
        <f t="shared" si="3"/>
        <v>173</v>
      </c>
      <c r="W21" s="81">
        <f t="shared" si="3"/>
        <v>174</v>
      </c>
      <c r="X21" s="81">
        <f t="shared" si="3"/>
        <v>175</v>
      </c>
      <c r="Y21" s="81">
        <f t="shared" si="3"/>
        <v>176</v>
      </c>
      <c r="Z21" s="81">
        <f t="shared" si="3"/>
        <v>176</v>
      </c>
      <c r="AA21" s="81">
        <f t="shared" si="3"/>
        <v>176</v>
      </c>
      <c r="AB21" s="81">
        <f t="shared" si="3"/>
        <v>176</v>
      </c>
      <c r="AC21" s="81">
        <f t="shared" si="3"/>
        <v>176</v>
      </c>
      <c r="AD21" s="81">
        <f t="shared" si="3"/>
        <v>176</v>
      </c>
      <c r="AE21" s="81">
        <f t="shared" si="3"/>
        <v>176</v>
      </c>
    </row>
    <row r="22" spans="2:36" ht="16.5" x14ac:dyDescent="0.3">
      <c r="B22" s="76"/>
      <c r="C22" s="68" t="s">
        <v>50</v>
      </c>
      <c r="D22" s="15" t="s">
        <v>51</v>
      </c>
      <c r="E22" s="66"/>
      <c r="F22" s="66">
        <f>AVERAGE(G22:R22)</f>
        <v>19.333333333333332</v>
      </c>
      <c r="G22" s="66">
        <v>18</v>
      </c>
      <c r="H22" s="66">
        <v>20</v>
      </c>
      <c r="I22" s="66">
        <v>18</v>
      </c>
      <c r="J22" s="66">
        <v>20</v>
      </c>
      <c r="K22" s="66">
        <v>22</v>
      </c>
      <c r="L22" s="66">
        <v>21</v>
      </c>
      <c r="M22" s="66">
        <v>19</v>
      </c>
      <c r="N22" s="66">
        <v>17</v>
      </c>
      <c r="O22" s="66">
        <v>19</v>
      </c>
      <c r="P22" s="66">
        <v>20</v>
      </c>
      <c r="Q22" s="66">
        <v>20</v>
      </c>
      <c r="R22" s="66">
        <v>18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J22" t="s">
        <v>80</v>
      </c>
    </row>
    <row r="23" spans="2:36" ht="16.5" x14ac:dyDescent="0.3">
      <c r="B23" s="60"/>
      <c r="C23" s="61"/>
      <c r="D23" s="15" t="s">
        <v>41</v>
      </c>
      <c r="E23" s="66"/>
      <c r="F23" s="116">
        <f>SUM(G23:R23)</f>
        <v>65.160049999999998</v>
      </c>
      <c r="G23" s="87">
        <f>G22*9.34*31/1000</f>
        <v>5.2117200000000006</v>
      </c>
      <c r="H23" s="87">
        <f>H22*8.61*29/1000</f>
        <v>4.9937999999999994</v>
      </c>
      <c r="I23" s="87">
        <f>I22*9*31/1000</f>
        <v>5.0220000000000002</v>
      </c>
      <c r="J23" s="87">
        <f>J22*9.16*30/1000</f>
        <v>5.4960000000000004</v>
      </c>
      <c r="K23" s="87">
        <f>K22*9.23*31/1000</f>
        <v>6.2948599999999999</v>
      </c>
      <c r="L23" s="87">
        <f>L22*9.27*30/1000</f>
        <v>5.8400999999999996</v>
      </c>
      <c r="M23" s="87">
        <f>M22*9.31*31/1000</f>
        <v>5.4835900000000004</v>
      </c>
      <c r="N23" s="87">
        <f>N22*9.32*31/1000</f>
        <v>4.9116400000000002</v>
      </c>
      <c r="O23" s="87">
        <f>O22*9.34*30/1000</f>
        <v>5.3238000000000003</v>
      </c>
      <c r="P23" s="87">
        <f>P22*9.32*31/1000</f>
        <v>5.7784000000000004</v>
      </c>
      <c r="Q23" s="87">
        <f>Q22*9.33*30/1000</f>
        <v>5.5979999999999999</v>
      </c>
      <c r="R23" s="87">
        <f>R22*9.33*31/1000</f>
        <v>5.2061400000000004</v>
      </c>
      <c r="S23" s="72"/>
      <c r="T23" s="81">
        <f>(G23*1000/G22)/31</f>
        <v>9.34</v>
      </c>
      <c r="U23" s="81">
        <f>(H23*1000/H22)/28</f>
        <v>8.9174999999999986</v>
      </c>
      <c r="V23" s="81">
        <f t="shared" ref="V23:AE23" si="4">(I23*1000/I22)/31</f>
        <v>9</v>
      </c>
      <c r="W23" s="81">
        <f>(J23*1000/J22)/30</f>
        <v>9.16</v>
      </c>
      <c r="X23" s="81">
        <f t="shared" si="4"/>
        <v>9.23</v>
      </c>
      <c r="Y23" s="81">
        <f>(L23*1000/L22)/30</f>
        <v>9.27</v>
      </c>
      <c r="Z23" s="81">
        <f t="shared" si="4"/>
        <v>9.31</v>
      </c>
      <c r="AA23" s="81">
        <f t="shared" si="4"/>
        <v>9.32</v>
      </c>
      <c r="AB23" s="81">
        <f>(O23*1000/O22)/30</f>
        <v>9.34</v>
      </c>
      <c r="AC23" s="81">
        <f t="shared" si="4"/>
        <v>9.32</v>
      </c>
      <c r="AD23" s="81">
        <f>(Q23*1000/Q22)/30</f>
        <v>9.33</v>
      </c>
      <c r="AE23" s="81">
        <f t="shared" si="4"/>
        <v>9.33</v>
      </c>
      <c r="AG23" s="100">
        <v>12.6</v>
      </c>
      <c r="AH23" s="101">
        <v>24800</v>
      </c>
      <c r="AI23" s="101">
        <f>AG23*AH23</f>
        <v>312480</v>
      </c>
      <c r="AJ23" s="101">
        <f>+AI23*30</f>
        <v>9374400</v>
      </c>
    </row>
    <row r="24" spans="2:36" ht="16.5" x14ac:dyDescent="0.3">
      <c r="B24" s="76"/>
      <c r="C24" s="65" t="s">
        <v>35</v>
      </c>
      <c r="D24" s="15" t="s">
        <v>36</v>
      </c>
      <c r="E24" s="66">
        <v>350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G24" s="100">
        <v>2.4</v>
      </c>
      <c r="AH24" s="101">
        <v>2812</v>
      </c>
      <c r="AI24" s="101">
        <f>AG24*AH24</f>
        <v>6748.8</v>
      </c>
      <c r="AJ24" s="101">
        <f>+AI24*30</f>
        <v>202464</v>
      </c>
    </row>
    <row r="25" spans="2:36" ht="16.5" x14ac:dyDescent="0.3">
      <c r="B25" s="76"/>
      <c r="C25" s="68" t="s">
        <v>38</v>
      </c>
      <c r="D25" s="15" t="s">
        <v>48</v>
      </c>
      <c r="E25" s="66"/>
      <c r="F25" s="66">
        <f>SUM(G25:R25)</f>
        <v>114</v>
      </c>
      <c r="G25" s="66">
        <v>7</v>
      </c>
      <c r="H25" s="66">
        <v>6</v>
      </c>
      <c r="I25" s="66">
        <v>5</v>
      </c>
      <c r="J25" s="66">
        <v>8</v>
      </c>
      <c r="K25" s="66">
        <v>9</v>
      </c>
      <c r="L25" s="66">
        <v>10</v>
      </c>
      <c r="M25" s="66">
        <v>11</v>
      </c>
      <c r="N25" s="66">
        <v>13</v>
      </c>
      <c r="O25" s="66">
        <v>12</v>
      </c>
      <c r="P25" s="66">
        <v>10</v>
      </c>
      <c r="Q25" s="66">
        <v>11</v>
      </c>
      <c r="R25" s="66">
        <v>12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G25" s="100">
        <f>+AI25/AH25</f>
        <v>11.561234245980009</v>
      </c>
      <c r="AH25" s="101">
        <f>SUM(AH23:AH24)</f>
        <v>27612</v>
      </c>
      <c r="AI25" s="101">
        <f>SUM(AI23:AI24)</f>
        <v>319228.79999999999</v>
      </c>
      <c r="AJ25" s="101">
        <f>SUM(AJ23:AJ24)</f>
        <v>9576864</v>
      </c>
    </row>
    <row r="26" spans="2:36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1.7952999999999999</v>
      </c>
      <c r="G26" s="87">
        <f>G25*0.0152</f>
        <v>0.10639999999999999</v>
      </c>
      <c r="H26" s="87">
        <f>H25*0.0153</f>
        <v>9.1799999999999993E-2</v>
      </c>
      <c r="I26" s="87">
        <f>I25*0.0156</f>
        <v>7.8E-2</v>
      </c>
      <c r="J26" s="87">
        <f t="shared" ref="J26:O26" si="5">J25*0.016</f>
        <v>0.128</v>
      </c>
      <c r="K26" s="87">
        <f t="shared" si="5"/>
        <v>0.14400000000000002</v>
      </c>
      <c r="L26" s="87">
        <f t="shared" si="5"/>
        <v>0.16</v>
      </c>
      <c r="M26" s="87">
        <f t="shared" si="5"/>
        <v>0.17599999999999999</v>
      </c>
      <c r="N26" s="87">
        <f t="shared" si="5"/>
        <v>0.20800000000000002</v>
      </c>
      <c r="O26" s="87">
        <f t="shared" si="5"/>
        <v>0.192</v>
      </c>
      <c r="P26" s="87">
        <f>P25*0.0157</f>
        <v>0.15699999999999997</v>
      </c>
      <c r="Q26" s="87">
        <f>Q25*0.0155</f>
        <v>0.17049999999999998</v>
      </c>
      <c r="R26" s="87">
        <f>R25*0.0153</f>
        <v>0.18359999999999999</v>
      </c>
      <c r="S26" s="72"/>
      <c r="T26" s="81">
        <f>G26*1000/G25</f>
        <v>15.2</v>
      </c>
      <c r="U26" s="81">
        <f t="shared" ref="U26:AE26" si="6">H26*1000/H25</f>
        <v>15.299999999999999</v>
      </c>
      <c r="V26" s="81">
        <f t="shared" si="6"/>
        <v>15.6</v>
      </c>
      <c r="W26" s="81">
        <f t="shared" si="6"/>
        <v>16</v>
      </c>
      <c r="X26" s="81">
        <f t="shared" si="6"/>
        <v>16.000000000000004</v>
      </c>
      <c r="Y26" s="81">
        <f t="shared" si="6"/>
        <v>16</v>
      </c>
      <c r="Z26" s="81">
        <f t="shared" si="6"/>
        <v>16</v>
      </c>
      <c r="AA26" s="81">
        <f t="shared" si="6"/>
        <v>16.000000000000004</v>
      </c>
      <c r="AB26" s="81">
        <f t="shared" si="6"/>
        <v>16</v>
      </c>
      <c r="AC26" s="81">
        <f t="shared" si="6"/>
        <v>15.699999999999998</v>
      </c>
      <c r="AD26" s="81">
        <f t="shared" si="6"/>
        <v>15.499999999999998</v>
      </c>
      <c r="AE26" s="81">
        <f t="shared" si="6"/>
        <v>15.299999999999999</v>
      </c>
    </row>
    <row r="27" spans="2:36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6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6" ht="16.5" x14ac:dyDescent="0.3">
      <c r="B29" s="76"/>
      <c r="C29" s="65" t="s">
        <v>35</v>
      </c>
      <c r="D29" s="15" t="s">
        <v>36</v>
      </c>
      <c r="E29" s="66">
        <v>450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6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191</v>
      </c>
      <c r="G30" s="66">
        <v>19</v>
      </c>
      <c r="H30" s="66">
        <v>22</v>
      </c>
      <c r="I30" s="66">
        <v>20</v>
      </c>
      <c r="J30" s="66">
        <v>18</v>
      </c>
      <c r="K30" s="66">
        <v>17</v>
      </c>
      <c r="L30" s="66">
        <v>15</v>
      </c>
      <c r="M30" s="66">
        <v>13</v>
      </c>
      <c r="N30" s="66">
        <v>13</v>
      </c>
      <c r="O30" s="66">
        <v>15</v>
      </c>
      <c r="P30" s="66">
        <v>12</v>
      </c>
      <c r="Q30" s="66">
        <v>12</v>
      </c>
      <c r="R30" s="66">
        <v>15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6" ht="16.5" x14ac:dyDescent="0.3">
      <c r="B31" s="60"/>
      <c r="C31" s="65" t="s">
        <v>40</v>
      </c>
      <c r="D31" s="15" t="s">
        <v>41</v>
      </c>
      <c r="E31" s="66"/>
      <c r="F31" s="87">
        <f>SUM(G31:R31)</f>
        <v>10.801</v>
      </c>
      <c r="G31" s="87">
        <f>G30*0.056</f>
        <v>1.0640000000000001</v>
      </c>
      <c r="H31" s="87">
        <f t="shared" ref="H31:M31" si="7">H30*0.057</f>
        <v>1.254</v>
      </c>
      <c r="I31" s="87">
        <f t="shared" si="7"/>
        <v>1.1400000000000001</v>
      </c>
      <c r="J31" s="87">
        <f t="shared" si="7"/>
        <v>1.026</v>
      </c>
      <c r="K31" s="87">
        <f t="shared" si="7"/>
        <v>0.96900000000000008</v>
      </c>
      <c r="L31" s="87">
        <f t="shared" si="7"/>
        <v>0.85499999999999998</v>
      </c>
      <c r="M31" s="87">
        <f t="shared" si="7"/>
        <v>0.74099999999999999</v>
      </c>
      <c r="N31" s="87">
        <f t="shared" ref="N31:R31" si="8">N30*0.056</f>
        <v>0.72799999999999998</v>
      </c>
      <c r="O31" s="87">
        <f t="shared" si="8"/>
        <v>0.84</v>
      </c>
      <c r="P31" s="87">
        <f t="shared" si="8"/>
        <v>0.67200000000000004</v>
      </c>
      <c r="Q31" s="87">
        <f t="shared" si="8"/>
        <v>0.67200000000000004</v>
      </c>
      <c r="R31" s="87">
        <f t="shared" si="8"/>
        <v>0.84</v>
      </c>
      <c r="S31" s="72"/>
      <c r="T31" s="81">
        <f>G31*1000/G30</f>
        <v>56</v>
      </c>
      <c r="U31" s="81">
        <f t="shared" ref="U31:AE31" si="9">H31*1000/H30</f>
        <v>57</v>
      </c>
      <c r="V31" s="81">
        <f t="shared" si="9"/>
        <v>57.000000000000014</v>
      </c>
      <c r="W31" s="81">
        <f t="shared" si="9"/>
        <v>57</v>
      </c>
      <c r="X31" s="81">
        <f t="shared" si="9"/>
        <v>57.000000000000007</v>
      </c>
      <c r="Y31" s="81">
        <f t="shared" si="9"/>
        <v>57</v>
      </c>
      <c r="Z31" s="81">
        <f t="shared" si="9"/>
        <v>57</v>
      </c>
      <c r="AA31" s="81">
        <f t="shared" si="9"/>
        <v>56</v>
      </c>
      <c r="AB31" s="81">
        <f t="shared" si="9"/>
        <v>56</v>
      </c>
      <c r="AC31" s="81">
        <f t="shared" si="9"/>
        <v>56</v>
      </c>
      <c r="AD31" s="81">
        <f t="shared" si="9"/>
        <v>56</v>
      </c>
      <c r="AE31" s="81">
        <f t="shared" si="9"/>
        <v>56</v>
      </c>
    </row>
    <row r="32" spans="2:36" ht="16.5" x14ac:dyDescent="0.3">
      <c r="B32" s="76"/>
      <c r="C32" s="65" t="s">
        <v>35</v>
      </c>
      <c r="D32" s="15" t="s">
        <v>36</v>
      </c>
      <c r="E32" s="66">
        <v>400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184</v>
      </c>
      <c r="G33" s="66">
        <v>15</v>
      </c>
      <c r="H33" s="66">
        <v>13</v>
      </c>
      <c r="I33" s="66">
        <v>10</v>
      </c>
      <c r="J33" s="66">
        <v>14</v>
      </c>
      <c r="K33" s="66">
        <v>15</v>
      </c>
      <c r="L33" s="66">
        <v>17</v>
      </c>
      <c r="M33" s="66">
        <v>19</v>
      </c>
      <c r="N33" s="66">
        <v>17</v>
      </c>
      <c r="O33" s="66">
        <v>19</v>
      </c>
      <c r="P33" s="66">
        <v>16</v>
      </c>
      <c r="Q33" s="66">
        <v>15</v>
      </c>
      <c r="R33" s="66">
        <v>14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2.5166000000000004</v>
      </c>
      <c r="G34" s="87">
        <f>G33*0.0132</f>
        <v>0.19800000000000001</v>
      </c>
      <c r="H34" s="87">
        <f>H33*0.013</f>
        <v>0.16899999999999998</v>
      </c>
      <c r="I34" s="87">
        <f>I33*0.0135</f>
        <v>0.13500000000000001</v>
      </c>
      <c r="J34" s="87">
        <f>J33*0.0138</f>
        <v>0.19319999999999998</v>
      </c>
      <c r="K34" s="87">
        <f>K33*0.0135</f>
        <v>0.20249999999999999</v>
      </c>
      <c r="L34" s="87">
        <f>L33*0.014</f>
        <v>0.23800000000000002</v>
      </c>
      <c r="M34" s="87">
        <f>M33*0.014</f>
        <v>0.26600000000000001</v>
      </c>
      <c r="N34" s="87">
        <f>N33*0.014</f>
        <v>0.23800000000000002</v>
      </c>
      <c r="O34" s="87">
        <f>O33*0.014</f>
        <v>0.26600000000000001</v>
      </c>
      <c r="P34" s="87">
        <f>P33*0.0138</f>
        <v>0.2208</v>
      </c>
      <c r="Q34" s="87">
        <f>Q33*0.0135</f>
        <v>0.20249999999999999</v>
      </c>
      <c r="R34" s="87">
        <f>R33*0.0134</f>
        <v>0.18760000000000002</v>
      </c>
      <c r="S34" s="72"/>
      <c r="T34" s="81">
        <f>G34*1000/G33</f>
        <v>13.2</v>
      </c>
      <c r="U34" s="81">
        <f t="shared" ref="U34:AE34" si="10">H34*1000/H33</f>
        <v>12.999999999999998</v>
      </c>
      <c r="V34" s="81">
        <f t="shared" si="10"/>
        <v>13.5</v>
      </c>
      <c r="W34" s="81">
        <f t="shared" si="10"/>
        <v>13.799999999999999</v>
      </c>
      <c r="X34" s="81">
        <f t="shared" si="10"/>
        <v>13.499999999999998</v>
      </c>
      <c r="Y34" s="81">
        <f t="shared" si="10"/>
        <v>14.000000000000002</v>
      </c>
      <c r="Z34" s="81">
        <f t="shared" si="10"/>
        <v>14</v>
      </c>
      <c r="AA34" s="81">
        <f t="shared" si="10"/>
        <v>14.000000000000002</v>
      </c>
      <c r="AB34" s="81">
        <f t="shared" si="10"/>
        <v>14</v>
      </c>
      <c r="AC34" s="81">
        <f t="shared" si="10"/>
        <v>13.799999999999999</v>
      </c>
      <c r="AD34" s="81">
        <f t="shared" si="10"/>
        <v>13.499999999999998</v>
      </c>
      <c r="AE34" s="81">
        <f t="shared" si="10"/>
        <v>13.400000000000002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11">H37*1000/H36</f>
        <v>#DIV/0!</v>
      </c>
      <c r="V37" s="81" t="e">
        <f t="shared" si="11"/>
        <v>#DIV/0!</v>
      </c>
      <c r="W37" s="81" t="e">
        <f t="shared" si="11"/>
        <v>#DIV/0!</v>
      </c>
      <c r="X37" s="81" t="e">
        <f t="shared" si="11"/>
        <v>#DIV/0!</v>
      </c>
      <c r="Y37" s="81" t="e">
        <f t="shared" si="11"/>
        <v>#DIV/0!</v>
      </c>
      <c r="Z37" s="81" t="e">
        <f t="shared" si="11"/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 t="e">
        <f>I39*1000/I38</f>
        <v>#DIV/0!</v>
      </c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79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2">H42*1000/H41</f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71"/>
      <c r="G44" s="71"/>
      <c r="H44" s="71"/>
      <c r="I44" s="71"/>
      <c r="J44" s="71"/>
      <c r="K44" s="83"/>
      <c r="L44" s="83"/>
      <c r="M44" s="83"/>
      <c r="N44" s="83"/>
      <c r="O44" s="83"/>
      <c r="P44" s="102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83"/>
      <c r="P49" s="89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O23 J34 F17 F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F51"/>
  <sheetViews>
    <sheetView topLeftCell="B1" zoomScale="81" zoomScaleNormal="81" workbookViewId="0">
      <pane xSplit="5" ySplit="14" topLeftCell="G15" activePane="bottomRight" state="frozen"/>
      <selection activeCell="H33" sqref="H33:XI33"/>
      <selection pane="topRight" activeCell="H33" sqref="H33:XI33"/>
      <selection pane="bottomLeft" activeCell="H33" sqref="H33:XI33"/>
      <selection pane="bottomRight" activeCell="T1" sqref="T1:AO1048576"/>
    </sheetView>
  </sheetViews>
  <sheetFormatPr baseColWidth="10" defaultRowHeight="12.75" x14ac:dyDescent="0.2"/>
  <cols>
    <col min="1" max="1" width="6.140625" customWidth="1"/>
    <col min="4" max="4" width="13" customWidth="1"/>
    <col min="7" max="18" width="8.7109375" customWidth="1"/>
    <col min="19" max="19" width="6" customWidth="1"/>
    <col min="20" max="32" width="8.7109375" hidden="1" customWidth="1"/>
    <col min="33" max="41" width="0" hidden="1" customWidth="1"/>
  </cols>
  <sheetData>
    <row r="1" spans="1:31" x14ac:dyDescent="0.2">
      <c r="A1" s="144" t="s">
        <v>0</v>
      </c>
      <c r="B1" s="144"/>
      <c r="C1" s="144"/>
      <c r="D1" s="144"/>
      <c r="E1" s="144"/>
    </row>
    <row r="2" spans="1:31" x14ac:dyDescent="0.2">
      <c r="A2" s="144" t="s">
        <v>1</v>
      </c>
      <c r="B2" s="144"/>
      <c r="C2" s="144"/>
      <c r="D2" s="144"/>
      <c r="E2" s="1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4" t="s">
        <v>2</v>
      </c>
      <c r="B3" s="144"/>
      <c r="C3" s="144"/>
      <c r="D3" s="144"/>
      <c r="E3" s="1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81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2025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850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375</v>
      </c>
      <c r="G15" s="66">
        <v>31</v>
      </c>
      <c r="H15" s="66">
        <v>25</v>
      </c>
      <c r="I15" s="66">
        <v>30</v>
      </c>
      <c r="J15" s="66">
        <v>34</v>
      </c>
      <c r="K15" s="66">
        <v>40</v>
      </c>
      <c r="L15" s="66">
        <v>42</v>
      </c>
      <c r="M15" s="66">
        <v>30</v>
      </c>
      <c r="N15" s="66">
        <v>28</v>
      </c>
      <c r="O15" s="66">
        <v>25</v>
      </c>
      <c r="P15" s="66">
        <v>30</v>
      </c>
      <c r="Q15" s="66">
        <v>28</v>
      </c>
      <c r="R15" s="66">
        <v>32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0.83359000000000005</v>
      </c>
      <c r="G16" s="87">
        <f>G15*0.00223</f>
        <v>6.9130000000000011E-2</v>
      </c>
      <c r="H16" s="87">
        <f>H15*0.00223</f>
        <v>5.5750000000000008E-2</v>
      </c>
      <c r="I16" s="87">
        <f>I15*0.00223</f>
        <v>6.6900000000000001E-2</v>
      </c>
      <c r="J16" s="87">
        <f>J15*0.00223</f>
        <v>7.5820000000000012E-2</v>
      </c>
      <c r="K16" s="87">
        <f>K15*0.00223</f>
        <v>8.9200000000000002E-2</v>
      </c>
      <c r="L16" s="87">
        <f>L15*0.00222</f>
        <v>9.3240000000000003E-2</v>
      </c>
      <c r="M16" s="87">
        <f>M15*0.00221</f>
        <v>6.6299999999999998E-2</v>
      </c>
      <c r="N16" s="87">
        <f>N15*0.00221</f>
        <v>6.1880000000000004E-2</v>
      </c>
      <c r="O16" s="87">
        <f>O15*0.00221</f>
        <v>5.5250000000000007E-2</v>
      </c>
      <c r="P16" s="87">
        <f>P15*0.00222</f>
        <v>6.6600000000000006E-2</v>
      </c>
      <c r="Q16" s="87">
        <f>Q15*0.00222</f>
        <v>6.2160000000000007E-2</v>
      </c>
      <c r="R16" s="87">
        <f>R15*0.00223</f>
        <v>7.1360000000000007E-2</v>
      </c>
      <c r="S16" s="72"/>
      <c r="T16" s="81">
        <f t="shared" ref="T16:AE16" si="0">G16*1000/G15</f>
        <v>2.2300000000000004</v>
      </c>
      <c r="U16" s="81">
        <f t="shared" si="0"/>
        <v>2.2300000000000004</v>
      </c>
      <c r="V16" s="81">
        <f t="shared" si="0"/>
        <v>2.23</v>
      </c>
      <c r="W16" s="81">
        <f t="shared" si="0"/>
        <v>2.2300000000000004</v>
      </c>
      <c r="X16" s="81">
        <f t="shared" si="0"/>
        <v>2.23</v>
      </c>
      <c r="Y16" s="81">
        <f t="shared" si="0"/>
        <v>2.2200000000000002</v>
      </c>
      <c r="Z16" s="81">
        <f t="shared" si="0"/>
        <v>2.21</v>
      </c>
      <c r="AA16" s="81">
        <f t="shared" si="0"/>
        <v>2.21</v>
      </c>
      <c r="AB16" s="81">
        <f t="shared" si="0"/>
        <v>2.2100000000000004</v>
      </c>
      <c r="AC16" s="81">
        <f t="shared" si="0"/>
        <v>2.2200000000000002</v>
      </c>
      <c r="AD16" s="81">
        <f t="shared" si="0"/>
        <v>2.2200000000000002</v>
      </c>
      <c r="AE16" s="81">
        <f t="shared" si="0"/>
        <v>2.2300000000000004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121.58333333333333</v>
      </c>
      <c r="G17" s="66">
        <v>120</v>
      </c>
      <c r="H17" s="66">
        <v>115</v>
      </c>
      <c r="I17" s="66">
        <v>110</v>
      </c>
      <c r="J17" s="66">
        <v>115</v>
      </c>
      <c r="K17" s="66">
        <v>128</v>
      </c>
      <c r="L17" s="66">
        <v>132</v>
      </c>
      <c r="M17" s="66">
        <v>128</v>
      </c>
      <c r="N17" s="66">
        <v>125</v>
      </c>
      <c r="O17" s="66">
        <v>122</v>
      </c>
      <c r="P17" s="66">
        <v>125</v>
      </c>
      <c r="Q17" s="66">
        <v>116</v>
      </c>
      <c r="R17" s="66">
        <v>123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1.038125</v>
      </c>
      <c r="G18" s="87">
        <f>((G17*12)/16)/1000</f>
        <v>0.09</v>
      </c>
      <c r="H18" s="87">
        <f>((H17*13)/16)/1000</f>
        <v>9.3437500000000007E-2</v>
      </c>
      <c r="I18" s="87">
        <f>((I17*13)/16)/1000</f>
        <v>8.9374999999999996E-2</v>
      </c>
      <c r="J18" s="87">
        <f>((J17*12)/16)/1000</f>
        <v>8.6249999999999993E-2</v>
      </c>
      <c r="K18" s="87">
        <f>((K17*12)/16)/1000</f>
        <v>9.6000000000000002E-2</v>
      </c>
      <c r="L18" s="87">
        <f>((L17*11)/16)/1000</f>
        <v>9.0749999999999997E-2</v>
      </c>
      <c r="M18" s="87">
        <f>((M17*10)/16)/1000</f>
        <v>0.08</v>
      </c>
      <c r="N18" s="87">
        <f>((N17*10)/16)/1000</f>
        <v>7.8125E-2</v>
      </c>
      <c r="O18" s="87">
        <f>((O17*10)/16)/1000</f>
        <v>7.6249999999999998E-2</v>
      </c>
      <c r="P18" s="87">
        <f>((P17*11)/16)/1000</f>
        <v>8.59375E-2</v>
      </c>
      <c r="Q18" s="87">
        <f>((Q17*11)/16)/1000</f>
        <v>7.9750000000000001E-2</v>
      </c>
      <c r="R18" s="87">
        <f>((R17*12)/16)/1000</f>
        <v>9.2249999999999999E-2</v>
      </c>
      <c r="S18" s="72"/>
      <c r="T18" s="81">
        <f t="shared" ref="T18:AE18" si="1">(G18*1000/G17)*16</f>
        <v>12</v>
      </c>
      <c r="U18" s="81">
        <f t="shared" si="1"/>
        <v>13</v>
      </c>
      <c r="V18" s="81">
        <f t="shared" si="1"/>
        <v>13</v>
      </c>
      <c r="W18" s="81">
        <f t="shared" si="1"/>
        <v>12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10</v>
      </c>
      <c r="AC18" s="81">
        <f t="shared" si="1"/>
        <v>11</v>
      </c>
      <c r="AD18" s="81">
        <f t="shared" si="1"/>
        <v>11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240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47</v>
      </c>
      <c r="G20" s="66">
        <v>4</v>
      </c>
      <c r="H20" s="66">
        <v>3</v>
      </c>
      <c r="I20" s="66">
        <v>3</v>
      </c>
      <c r="J20" s="66">
        <v>3</v>
      </c>
      <c r="K20" s="66">
        <v>4</v>
      </c>
      <c r="L20" s="66">
        <v>4</v>
      </c>
      <c r="M20" s="66">
        <v>4</v>
      </c>
      <c r="N20" s="66">
        <v>5</v>
      </c>
      <c r="O20" s="66">
        <v>6</v>
      </c>
      <c r="P20" s="66">
        <v>5</v>
      </c>
      <c r="Q20" s="66">
        <v>4</v>
      </c>
      <c r="R20" s="66">
        <v>2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7.33</v>
      </c>
      <c r="G21" s="87">
        <f>G20*0.155</f>
        <v>0.62</v>
      </c>
      <c r="H21" s="87">
        <f>H20*0.154</f>
        <v>0.46199999999999997</v>
      </c>
      <c r="I21" s="87">
        <f>I20*0.155</f>
        <v>0.46499999999999997</v>
      </c>
      <c r="J21" s="87">
        <f>J20*0.156</f>
        <v>0.46799999999999997</v>
      </c>
      <c r="K21" s="87">
        <f>K20*0.157</f>
        <v>0.628</v>
      </c>
      <c r="L21" s="87">
        <f>L20*0.157</f>
        <v>0.628</v>
      </c>
      <c r="M21" s="87">
        <f>M20*0.158</f>
        <v>0.63200000000000001</v>
      </c>
      <c r="N21" s="87">
        <f>N20*0.155</f>
        <v>0.77500000000000002</v>
      </c>
      <c r="O21" s="87">
        <f>O20*0.156</f>
        <v>0.93599999999999994</v>
      </c>
      <c r="P21" s="87">
        <f>P20*0.156</f>
        <v>0.78</v>
      </c>
      <c r="Q21" s="87">
        <f>Q20*0.156</f>
        <v>0.624</v>
      </c>
      <c r="R21" s="87">
        <f>R20*0.156</f>
        <v>0.312</v>
      </c>
      <c r="S21" s="72"/>
      <c r="T21" s="81">
        <f t="shared" ref="T21:AE21" si="2">G21*1000/G20</f>
        <v>155</v>
      </c>
      <c r="U21" s="81">
        <f t="shared" si="2"/>
        <v>153.99999999999997</v>
      </c>
      <c r="V21" s="81">
        <f t="shared" si="2"/>
        <v>154.99999999999997</v>
      </c>
      <c r="W21" s="81">
        <f t="shared" si="2"/>
        <v>156</v>
      </c>
      <c r="X21" s="81">
        <f t="shared" si="2"/>
        <v>157</v>
      </c>
      <c r="Y21" s="81">
        <f t="shared" si="2"/>
        <v>157</v>
      </c>
      <c r="Z21" s="81">
        <f t="shared" si="2"/>
        <v>158</v>
      </c>
      <c r="AA21" s="81">
        <f t="shared" si="2"/>
        <v>155</v>
      </c>
      <c r="AB21" s="81">
        <f t="shared" si="2"/>
        <v>156</v>
      </c>
      <c r="AC21" s="81">
        <f t="shared" si="2"/>
        <v>156</v>
      </c>
      <c r="AD21" s="81">
        <f t="shared" si="2"/>
        <v>156</v>
      </c>
      <c r="AE21" s="81">
        <f t="shared" si="2"/>
        <v>156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76.5</v>
      </c>
      <c r="G22" s="66">
        <v>92</v>
      </c>
      <c r="H22" s="66">
        <v>90</v>
      </c>
      <c r="I22" s="66">
        <v>88</v>
      </c>
      <c r="J22" s="66">
        <v>85</v>
      </c>
      <c r="K22" s="66">
        <v>82</v>
      </c>
      <c r="L22" s="66">
        <v>80</v>
      </c>
      <c r="M22" s="66">
        <v>75</v>
      </c>
      <c r="N22" s="66">
        <v>72</v>
      </c>
      <c r="O22" s="66">
        <v>70</v>
      </c>
      <c r="P22" s="66">
        <v>68</v>
      </c>
      <c r="Q22" s="66">
        <v>60</v>
      </c>
      <c r="R22" s="66">
        <v>56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192.25681</v>
      </c>
      <c r="G23" s="87">
        <f>G22*6.94*31/1000</f>
        <v>19.79288</v>
      </c>
      <c r="H23" s="87">
        <f>H22*6.57*29/1000</f>
        <v>17.1477</v>
      </c>
      <c r="I23" s="87">
        <f>I22*6.67*31/1000</f>
        <v>18.195760000000003</v>
      </c>
      <c r="J23" s="87">
        <f>J22*6.81*30/1000</f>
        <v>17.365500000000001</v>
      </c>
      <c r="K23" s="87">
        <f>K22*6.89*31/1000</f>
        <v>17.514380000000003</v>
      </c>
      <c r="L23" s="87">
        <f>L22*6.91*30/1000</f>
        <v>16.584</v>
      </c>
      <c r="M23" s="87">
        <f>M22*6.95*31/1000</f>
        <v>16.158750000000001</v>
      </c>
      <c r="N23" s="87">
        <f>N22*6.97*31/1000</f>
        <v>15.557039999999999</v>
      </c>
      <c r="O23" s="87">
        <f>O22*6.99*30/1000</f>
        <v>14.679</v>
      </c>
      <c r="P23" s="87">
        <f>P22*6.95*31/1000</f>
        <v>14.650600000000001</v>
      </c>
      <c r="Q23" s="87">
        <f>Q22*6.97*30/1000</f>
        <v>12.545999999999999</v>
      </c>
      <c r="R23" s="87">
        <f>R22*6.95*31/1000</f>
        <v>12.065199999999999</v>
      </c>
      <c r="S23" s="72"/>
      <c r="T23" s="81">
        <f>(G23*1000/G22)/31</f>
        <v>6.94</v>
      </c>
      <c r="U23" s="81">
        <f>(H23*1000/H22)/28</f>
        <v>6.8046428571428574</v>
      </c>
      <c r="V23" s="81">
        <f>(I23*1000/I22)/31</f>
        <v>6.67</v>
      </c>
      <c r="W23" s="81">
        <f>(J23*1000/J22)/30</f>
        <v>6.8100000000000005</v>
      </c>
      <c r="X23" s="81">
        <f>(K23*1000/K22)/31</f>
        <v>6.89</v>
      </c>
      <c r="Y23" s="81">
        <f>(L23*1000/L22)/30</f>
        <v>6.91</v>
      </c>
      <c r="Z23" s="81">
        <f>(M23*1000/M22)/31</f>
        <v>6.95</v>
      </c>
      <c r="AA23" s="81">
        <f>(N23*1000/N22)/31</f>
        <v>6.97</v>
      </c>
      <c r="AB23" s="81">
        <f>(O23*1000/O22)/30</f>
        <v>6.9899999999999993</v>
      </c>
      <c r="AC23" s="81">
        <f>(P23*1000/P22)/31</f>
        <v>6.95</v>
      </c>
      <c r="AD23" s="81">
        <f>(Q23*1000/Q22)/30</f>
        <v>6.97</v>
      </c>
      <c r="AE23" s="81">
        <f>(R23*1000/R22)/31</f>
        <v>6.9499999999999993</v>
      </c>
    </row>
    <row r="24" spans="2:31" ht="16.5" x14ac:dyDescent="0.3">
      <c r="B24" s="76"/>
      <c r="C24" s="65" t="s">
        <v>35</v>
      </c>
      <c r="D24" s="15" t="s">
        <v>36</v>
      </c>
      <c r="E24" s="66">
        <v>150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35</v>
      </c>
      <c r="G25" s="66">
        <v>3</v>
      </c>
      <c r="H25" s="66">
        <v>2</v>
      </c>
      <c r="I25" s="66">
        <v>2</v>
      </c>
      <c r="J25" s="66">
        <v>4</v>
      </c>
      <c r="K25" s="66">
        <v>3</v>
      </c>
      <c r="L25" s="66">
        <v>5</v>
      </c>
      <c r="M25" s="66">
        <v>3</v>
      </c>
      <c r="N25" s="66">
        <v>4</v>
      </c>
      <c r="O25" s="66">
        <v>4</v>
      </c>
      <c r="P25" s="66">
        <v>2</v>
      </c>
      <c r="Q25" s="66">
        <v>2</v>
      </c>
      <c r="R25" s="66">
        <v>1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0.54200000000000004</v>
      </c>
      <c r="G26" s="87">
        <f>G25*0.0151</f>
        <v>4.53E-2</v>
      </c>
      <c r="H26" s="87">
        <f>H25*0.0153</f>
        <v>3.0599999999999999E-2</v>
      </c>
      <c r="I26" s="87">
        <f>I25*0.015</f>
        <v>0.03</v>
      </c>
      <c r="J26" s="87">
        <f>J25*0.0152</f>
        <v>6.08E-2</v>
      </c>
      <c r="K26" s="87">
        <f>K25*0.0153</f>
        <v>4.5899999999999996E-2</v>
      </c>
      <c r="L26" s="87">
        <f>L25*0.0155</f>
        <v>7.7499999999999999E-2</v>
      </c>
      <c r="M26" s="87">
        <f>M25*0.0156</f>
        <v>4.6799999999999994E-2</v>
      </c>
      <c r="N26" s="87">
        <f>N25*0.0158</f>
        <v>6.3200000000000006E-2</v>
      </c>
      <c r="O26" s="87">
        <f>O25*0.016</f>
        <v>6.4000000000000001E-2</v>
      </c>
      <c r="P26" s="87">
        <f>P25*0.0158</f>
        <v>3.1600000000000003E-2</v>
      </c>
      <c r="Q26" s="87">
        <f>Q25*0.0155</f>
        <v>3.1E-2</v>
      </c>
      <c r="R26" s="87">
        <f>R25*0.0153</f>
        <v>1.5299999999999999E-2</v>
      </c>
      <c r="S26" s="72"/>
      <c r="T26" s="81">
        <f t="shared" ref="T26:AE26" si="3">G26*1000/G25</f>
        <v>15.1</v>
      </c>
      <c r="U26" s="81">
        <f t="shared" si="3"/>
        <v>15.299999999999999</v>
      </c>
      <c r="V26" s="81">
        <f t="shared" si="3"/>
        <v>15</v>
      </c>
      <c r="W26" s="81">
        <f t="shared" si="3"/>
        <v>15.2</v>
      </c>
      <c r="X26" s="81">
        <f t="shared" si="3"/>
        <v>15.299999999999999</v>
      </c>
      <c r="Y26" s="81">
        <f t="shared" si="3"/>
        <v>15.5</v>
      </c>
      <c r="Z26" s="81">
        <f t="shared" si="3"/>
        <v>15.6</v>
      </c>
      <c r="AA26" s="81">
        <f t="shared" si="3"/>
        <v>15.8</v>
      </c>
      <c r="AB26" s="81">
        <f t="shared" si="3"/>
        <v>16</v>
      </c>
      <c r="AC26" s="81">
        <f t="shared" si="3"/>
        <v>15.8</v>
      </c>
      <c r="AD26" s="81">
        <f t="shared" si="3"/>
        <v>15.5</v>
      </c>
      <c r="AE26" s="81">
        <f t="shared" si="3"/>
        <v>15.299999999999999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80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37</v>
      </c>
      <c r="G30" s="66">
        <v>4</v>
      </c>
      <c r="H30" s="66">
        <v>3</v>
      </c>
      <c r="I30" s="66">
        <v>2</v>
      </c>
      <c r="J30" s="66">
        <v>2</v>
      </c>
      <c r="K30" s="66">
        <v>4</v>
      </c>
      <c r="L30" s="66">
        <v>3</v>
      </c>
      <c r="M30" s="66">
        <v>2</v>
      </c>
      <c r="N30" s="66">
        <v>2</v>
      </c>
      <c r="O30" s="66">
        <v>4</v>
      </c>
      <c r="P30" s="66">
        <v>3</v>
      </c>
      <c r="Q30" s="66">
        <v>3</v>
      </c>
      <c r="R30" s="66">
        <v>5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2.0720000000000001</v>
      </c>
      <c r="G31" s="87">
        <f>G30*0.056</f>
        <v>0.224</v>
      </c>
      <c r="H31" s="87">
        <f t="shared" ref="H31:M31" si="4">H30*0.056</f>
        <v>0.16800000000000001</v>
      </c>
      <c r="I31" s="87">
        <f t="shared" si="4"/>
        <v>0.112</v>
      </c>
      <c r="J31" s="87">
        <f t="shared" si="4"/>
        <v>0.112</v>
      </c>
      <c r="K31" s="87">
        <f t="shared" si="4"/>
        <v>0.224</v>
      </c>
      <c r="L31" s="87">
        <f t="shared" si="4"/>
        <v>0.16800000000000001</v>
      </c>
      <c r="M31" s="87">
        <f t="shared" si="4"/>
        <v>0.112</v>
      </c>
      <c r="N31" s="87">
        <f>N30*0.056</f>
        <v>0.112</v>
      </c>
      <c r="O31" s="87">
        <f>O30*0.056</f>
        <v>0.224</v>
      </c>
      <c r="P31" s="87">
        <f>P30*0.056</f>
        <v>0.16800000000000001</v>
      </c>
      <c r="Q31" s="87">
        <f>Q30*0.056</f>
        <v>0.16800000000000001</v>
      </c>
      <c r="R31" s="87">
        <f>R30*0.056</f>
        <v>0.28000000000000003</v>
      </c>
      <c r="S31" s="72"/>
      <c r="T31" s="81">
        <f t="shared" ref="T31:AE31" si="5">G31*1000/G30</f>
        <v>56</v>
      </c>
      <c r="U31" s="81">
        <f t="shared" si="5"/>
        <v>56</v>
      </c>
      <c r="V31" s="81">
        <f t="shared" si="5"/>
        <v>56</v>
      </c>
      <c r="W31" s="81">
        <f t="shared" si="5"/>
        <v>56</v>
      </c>
      <c r="X31" s="81">
        <f t="shared" si="5"/>
        <v>56</v>
      </c>
      <c r="Y31" s="81">
        <f t="shared" si="5"/>
        <v>56</v>
      </c>
      <c r="Z31" s="81">
        <f t="shared" si="5"/>
        <v>56</v>
      </c>
      <c r="AA31" s="81">
        <f t="shared" si="5"/>
        <v>56</v>
      </c>
      <c r="AB31" s="81">
        <f t="shared" si="5"/>
        <v>56</v>
      </c>
      <c r="AC31" s="81">
        <f t="shared" si="5"/>
        <v>56</v>
      </c>
      <c r="AD31" s="81">
        <f t="shared" si="5"/>
        <v>56</v>
      </c>
      <c r="AE31" s="81">
        <f t="shared" si="5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900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218</v>
      </c>
      <c r="G33" s="66">
        <v>18</v>
      </c>
      <c r="H33" s="66">
        <v>16</v>
      </c>
      <c r="I33" s="66">
        <v>13</v>
      </c>
      <c r="J33" s="66">
        <v>16</v>
      </c>
      <c r="K33" s="66">
        <v>20</v>
      </c>
      <c r="L33" s="66">
        <v>23</v>
      </c>
      <c r="M33" s="66">
        <v>20</v>
      </c>
      <c r="N33" s="66">
        <v>22</v>
      </c>
      <c r="O33" s="66">
        <v>20</v>
      </c>
      <c r="P33" s="66">
        <v>18</v>
      </c>
      <c r="Q33" s="66">
        <v>15</v>
      </c>
      <c r="R33" s="66">
        <v>17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2.6320000000000006</v>
      </c>
      <c r="G34" s="87">
        <f>G33*0.012</f>
        <v>0.216</v>
      </c>
      <c r="H34" s="87">
        <f t="shared" ref="H34:M34" si="6">H33*0.012</f>
        <v>0.192</v>
      </c>
      <c r="I34" s="87">
        <f t="shared" si="6"/>
        <v>0.156</v>
      </c>
      <c r="J34" s="87">
        <f t="shared" si="6"/>
        <v>0.192</v>
      </c>
      <c r="K34" s="87">
        <f t="shared" si="6"/>
        <v>0.24</v>
      </c>
      <c r="L34" s="87">
        <f t="shared" si="6"/>
        <v>0.27600000000000002</v>
      </c>
      <c r="M34" s="87">
        <f t="shared" si="6"/>
        <v>0.24</v>
      </c>
      <c r="N34" s="87">
        <f>N33*0.0122</f>
        <v>0.26840000000000003</v>
      </c>
      <c r="O34" s="87">
        <f>O33*0.0124</f>
        <v>0.248</v>
      </c>
      <c r="P34" s="87">
        <f>P33*0.0122</f>
        <v>0.21960000000000002</v>
      </c>
      <c r="Q34" s="87">
        <f>Q33*0.012</f>
        <v>0.18</v>
      </c>
      <c r="R34" s="87">
        <f>R33*0.012</f>
        <v>0.20400000000000001</v>
      </c>
      <c r="S34" s="72"/>
      <c r="T34" s="81">
        <f t="shared" ref="T34:AE34" si="7">G34*1000/G33</f>
        <v>12</v>
      </c>
      <c r="U34" s="81">
        <f t="shared" si="7"/>
        <v>12</v>
      </c>
      <c r="V34" s="81">
        <f t="shared" si="7"/>
        <v>12</v>
      </c>
      <c r="W34" s="81">
        <f t="shared" si="7"/>
        <v>12</v>
      </c>
      <c r="X34" s="81">
        <f t="shared" si="7"/>
        <v>12</v>
      </c>
      <c r="Y34" s="81">
        <f t="shared" si="7"/>
        <v>12</v>
      </c>
      <c r="Z34" s="81">
        <f t="shared" si="7"/>
        <v>12</v>
      </c>
      <c r="AA34" s="81">
        <f t="shared" si="7"/>
        <v>12.200000000000001</v>
      </c>
      <c r="AB34" s="81">
        <f t="shared" si="7"/>
        <v>12.4</v>
      </c>
      <c r="AC34" s="81">
        <f t="shared" si="7"/>
        <v>12.200000000000001</v>
      </c>
      <c r="AD34" s="81">
        <f t="shared" si="7"/>
        <v>12</v>
      </c>
      <c r="AE34" s="81">
        <f t="shared" si="7"/>
        <v>12.000000000000002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 t="shared" ref="T37:AE37" si="8">G37*1000/G36</f>
        <v>#DIV/0!</v>
      </c>
      <c r="U37" s="81" t="e">
        <f t="shared" si="8"/>
        <v>#DIV/0!</v>
      </c>
      <c r="V37" s="81" t="e">
        <f t="shared" si="8"/>
        <v>#DIV/0!</v>
      </c>
      <c r="W37" s="81" t="e">
        <f t="shared" si="8"/>
        <v>#DIV/0!</v>
      </c>
      <c r="X37" s="81" t="e">
        <f t="shared" si="8"/>
        <v>#DIV/0!</v>
      </c>
      <c r="Y37" s="81" t="e">
        <f t="shared" si="8"/>
        <v>#DIV/0!</v>
      </c>
      <c r="Z37" s="81" t="e">
        <f t="shared" si="8"/>
        <v>#DIV/0!</v>
      </c>
      <c r="AA37" s="81" t="e">
        <f t="shared" si="8"/>
        <v>#DIV/0!</v>
      </c>
      <c r="AB37" s="81" t="e">
        <f t="shared" si="8"/>
        <v>#DIV/0!</v>
      </c>
      <c r="AC37" s="81" t="e">
        <f t="shared" si="8"/>
        <v>#DIV/0!</v>
      </c>
      <c r="AD37" s="81" t="e">
        <f t="shared" si="8"/>
        <v>#DIV/0!</v>
      </c>
      <c r="AE37" s="81" t="e">
        <f t="shared" si="8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/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 t="shared" ref="T42:AE42" si="9">G42*1000/G41</f>
        <v>#DIV/0!</v>
      </c>
      <c r="U42" s="81" t="e">
        <f t="shared" si="9"/>
        <v>#DIV/0!</v>
      </c>
      <c r="V42" s="81" t="e">
        <f t="shared" si="9"/>
        <v>#DIV/0!</v>
      </c>
      <c r="W42" s="81" t="e">
        <f t="shared" si="9"/>
        <v>#DIV/0!</v>
      </c>
      <c r="X42" s="81" t="e">
        <f t="shared" si="9"/>
        <v>#DIV/0!</v>
      </c>
      <c r="Y42" s="81" t="e">
        <f t="shared" si="9"/>
        <v>#DIV/0!</v>
      </c>
      <c r="Z42" s="81" t="e">
        <f t="shared" si="9"/>
        <v>#DIV/0!</v>
      </c>
      <c r="AA42" s="81" t="e">
        <f t="shared" si="9"/>
        <v>#DIV/0!</v>
      </c>
      <c r="AB42" s="81" t="e">
        <f t="shared" si="9"/>
        <v>#DIV/0!</v>
      </c>
      <c r="AC42" s="81" t="e">
        <f t="shared" si="9"/>
        <v>#DIV/0!</v>
      </c>
      <c r="AD42" s="81" t="e">
        <f t="shared" si="9"/>
        <v>#DIV/0!</v>
      </c>
      <c r="AE42" s="81" t="e">
        <f t="shared" si="9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/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87"/>
      <c r="G49" s="83"/>
      <c r="H49" s="86"/>
      <c r="I49" s="86"/>
      <c r="J49" s="83"/>
      <c r="K49" s="83"/>
      <c r="L49" s="83"/>
      <c r="M49" s="83"/>
      <c r="N49" s="83"/>
      <c r="O49" s="87"/>
      <c r="P49" s="71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H21 Q23 O26 O34 F17 F2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T51"/>
  <sheetViews>
    <sheetView topLeftCell="B1" zoomScale="79" zoomScaleNormal="79" workbookViewId="0">
      <pane xSplit="5" ySplit="14" topLeftCell="G15" activePane="bottomRight" state="frozen"/>
      <selection activeCell="H1" sqref="H1"/>
      <selection pane="topRight" activeCell="H1" sqref="H1"/>
      <selection pane="bottomLeft" activeCell="H1" sqref="H1"/>
      <selection pane="bottomRight" activeCell="T1" sqref="T1:AL1048576"/>
    </sheetView>
  </sheetViews>
  <sheetFormatPr baseColWidth="10" defaultRowHeight="12.75" x14ac:dyDescent="0.2"/>
  <cols>
    <col min="1" max="1" width="6" customWidth="1"/>
    <col min="4" max="4" width="14.28515625" customWidth="1"/>
    <col min="5" max="5" width="11.7109375" customWidth="1"/>
    <col min="7" max="18" width="9.7109375" customWidth="1"/>
    <col min="19" max="19" width="4.85546875" customWidth="1"/>
    <col min="20" max="31" width="9.7109375" hidden="1" customWidth="1"/>
    <col min="32" max="38" width="0" hidden="1" customWidth="1"/>
  </cols>
  <sheetData>
    <row r="1" spans="1:306" x14ac:dyDescent="0.2">
      <c r="A1" s="144" t="s">
        <v>0</v>
      </c>
      <c r="B1" s="144"/>
      <c r="C1" s="144"/>
      <c r="D1" s="144"/>
      <c r="E1" s="144"/>
    </row>
    <row r="2" spans="1:306" x14ac:dyDescent="0.2">
      <c r="A2" s="144" t="s">
        <v>1</v>
      </c>
      <c r="B2" s="144"/>
      <c r="C2" s="144"/>
      <c r="D2" s="144"/>
      <c r="E2" s="1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06" x14ac:dyDescent="0.2">
      <c r="A3" s="144" t="s">
        <v>2</v>
      </c>
      <c r="B3" s="144"/>
      <c r="C3" s="144"/>
      <c r="D3" s="144"/>
      <c r="E3" s="1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06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06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06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06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1:306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06" x14ac:dyDescent="0.2">
      <c r="B9" s="50" t="s">
        <v>68</v>
      </c>
      <c r="C9" s="46"/>
      <c r="D9" s="51" t="s">
        <v>82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06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06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06" x14ac:dyDescent="0.2">
      <c r="B12" s="56" t="s">
        <v>8</v>
      </c>
      <c r="C12" s="57" t="s">
        <v>9</v>
      </c>
      <c r="D12" s="57" t="s">
        <v>72</v>
      </c>
      <c r="E12" s="113">
        <f>Caravel!E12</f>
        <v>2025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06" x14ac:dyDescent="0.2">
      <c r="B13" s="60"/>
      <c r="C13" s="61"/>
      <c r="D13" s="62" t="s">
        <v>73</v>
      </c>
      <c r="E13" s="96" t="s">
        <v>33</v>
      </c>
      <c r="F13" s="113">
        <f>Caravel!F13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06" ht="16.5" x14ac:dyDescent="0.3">
      <c r="B14" s="64" t="s">
        <v>34</v>
      </c>
      <c r="C14" s="65" t="s">
        <v>35</v>
      </c>
      <c r="D14" s="15" t="s">
        <v>36</v>
      </c>
      <c r="E14" s="66">
        <v>460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06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501</v>
      </c>
      <c r="G15" s="66">
        <v>47</v>
      </c>
      <c r="H15" s="66">
        <v>42</v>
      </c>
      <c r="I15" s="66">
        <v>44</v>
      </c>
      <c r="J15" s="66">
        <v>38</v>
      </c>
      <c r="K15" s="66">
        <v>40</v>
      </c>
      <c r="L15" s="66">
        <v>42</v>
      </c>
      <c r="M15" s="66">
        <v>48</v>
      </c>
      <c r="N15" s="66">
        <v>36</v>
      </c>
      <c r="O15" s="66">
        <v>41</v>
      </c>
      <c r="P15" s="66">
        <v>43</v>
      </c>
      <c r="Q15" s="66">
        <v>42</v>
      </c>
      <c r="R15" s="66">
        <v>38</v>
      </c>
      <c r="S15" s="69"/>
      <c r="KT15" t="s">
        <v>89</v>
      </c>
    </row>
    <row r="16" spans="1:306" ht="16.5" x14ac:dyDescent="0.3">
      <c r="B16" s="60"/>
      <c r="C16" s="65" t="s">
        <v>40</v>
      </c>
      <c r="D16" s="15" t="s">
        <v>41</v>
      </c>
      <c r="E16" s="66"/>
      <c r="F16" s="87">
        <f>SUM(G16:R16)</f>
        <v>1.1393800000000001</v>
      </c>
      <c r="G16" s="87">
        <f>G15*0.00224</f>
        <v>0.10527999999999998</v>
      </c>
      <c r="H16" s="87">
        <f>H15*0.00235</f>
        <v>9.870000000000001E-2</v>
      </c>
      <c r="I16" s="87">
        <f>I15*0.00235</f>
        <v>0.10340000000000001</v>
      </c>
      <c r="J16" s="87">
        <f>J15*0.00225</f>
        <v>8.5499999999999993E-2</v>
      </c>
      <c r="K16" s="87">
        <f>K15*0.00224</f>
        <v>8.9599999999999985E-2</v>
      </c>
      <c r="L16" s="87">
        <f>L15*0.00223</f>
        <v>9.3660000000000007E-2</v>
      </c>
      <c r="M16" s="87">
        <f>M15*0.00222</f>
        <v>0.10656000000000002</v>
      </c>
      <c r="N16" s="87">
        <f>N15*0.00222</f>
        <v>7.9920000000000005E-2</v>
      </c>
      <c r="O16" s="87">
        <f>O15*0.00222</f>
        <v>9.1020000000000004E-2</v>
      </c>
      <c r="P16" s="87">
        <f>P15*0.00232</f>
        <v>9.9760000000000001E-2</v>
      </c>
      <c r="Q16" s="87">
        <f>Q15*0.00232</f>
        <v>9.7439999999999999E-2</v>
      </c>
      <c r="R16" s="87">
        <f>R15*0.00233</f>
        <v>8.8540000000000008E-2</v>
      </c>
      <c r="S16" s="72"/>
      <c r="T16" s="81">
        <f>G16*1000/G15</f>
        <v>2.2399999999999998</v>
      </c>
      <c r="U16" s="81">
        <f t="shared" ref="U16:AE16" si="0">H16*1000/H15</f>
        <v>2.3500000000000005</v>
      </c>
      <c r="V16" s="81">
        <f t="shared" si="0"/>
        <v>2.35</v>
      </c>
      <c r="W16" s="81">
        <f t="shared" si="0"/>
        <v>2.2499999999999996</v>
      </c>
      <c r="X16" s="81">
        <f t="shared" si="0"/>
        <v>2.2399999999999993</v>
      </c>
      <c r="Y16" s="81">
        <f t="shared" si="0"/>
        <v>2.2300000000000004</v>
      </c>
      <c r="Z16" s="81">
        <f t="shared" si="0"/>
        <v>2.2200000000000002</v>
      </c>
      <c r="AA16" s="81">
        <f t="shared" si="0"/>
        <v>2.2200000000000002</v>
      </c>
      <c r="AB16" s="81">
        <f t="shared" si="0"/>
        <v>2.2200000000000002</v>
      </c>
      <c r="AC16" s="81">
        <f t="shared" si="0"/>
        <v>2.3200000000000003</v>
      </c>
      <c r="AD16" s="81">
        <f t="shared" si="0"/>
        <v>2.3199999999999998</v>
      </c>
      <c r="AE16" s="81">
        <f t="shared" si="0"/>
        <v>2.33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86.5</v>
      </c>
      <c r="G17" s="66">
        <v>90</v>
      </c>
      <c r="H17" s="66">
        <v>88</v>
      </c>
      <c r="I17" s="66">
        <v>78</v>
      </c>
      <c r="J17" s="66">
        <v>80</v>
      </c>
      <c r="K17" s="66">
        <v>85</v>
      </c>
      <c r="L17" s="66">
        <v>88</v>
      </c>
      <c r="M17" s="66">
        <v>92</v>
      </c>
      <c r="N17" s="66">
        <v>89</v>
      </c>
      <c r="O17" s="66">
        <v>92</v>
      </c>
      <c r="P17" s="66">
        <v>83</v>
      </c>
      <c r="Q17" s="66">
        <v>88</v>
      </c>
      <c r="R17" s="66">
        <v>85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0.76</v>
      </c>
      <c r="G18" s="87">
        <f>((G17*12)/16)/1000</f>
        <v>6.7500000000000004E-2</v>
      </c>
      <c r="H18" s="87">
        <f>((H17*13)/16)/1000</f>
        <v>7.1499999999999994E-2</v>
      </c>
      <c r="I18" s="87">
        <f>((I17*13)/16)/1000</f>
        <v>6.3375000000000001E-2</v>
      </c>
      <c r="J18" s="87">
        <f>((J17*13)/16)/1000</f>
        <v>6.5000000000000002E-2</v>
      </c>
      <c r="K18" s="87">
        <f>((K17*12)/16)/1000</f>
        <v>6.3750000000000001E-2</v>
      </c>
      <c r="L18" s="87">
        <f>((L17*11)/16)/1000</f>
        <v>6.0499999999999998E-2</v>
      </c>
      <c r="M18" s="87">
        <f>((M17*10)/16)/1000</f>
        <v>5.7500000000000002E-2</v>
      </c>
      <c r="N18" s="87">
        <f>((N17*10)/16)/1000</f>
        <v>5.5625000000000001E-2</v>
      </c>
      <c r="O18" s="87">
        <f>((O17*11)/16)/1000</f>
        <v>6.3250000000000001E-2</v>
      </c>
      <c r="P18" s="87">
        <f>((P17*12)/16)/1000</f>
        <v>6.225E-2</v>
      </c>
      <c r="Q18" s="87">
        <f>((Q17*12)/16)/1000</f>
        <v>6.6000000000000003E-2</v>
      </c>
      <c r="R18" s="87">
        <f>((R17*12)/16)/1000</f>
        <v>6.3750000000000001E-2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75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12</v>
      </c>
      <c r="G20" s="66">
        <v>1</v>
      </c>
      <c r="H20" s="66">
        <v>1</v>
      </c>
      <c r="I20" s="66">
        <v>2</v>
      </c>
      <c r="J20" s="66">
        <v>1</v>
      </c>
      <c r="K20" s="66">
        <v>1</v>
      </c>
      <c r="L20" s="66">
        <v>1</v>
      </c>
      <c r="M20" s="66">
        <v>0</v>
      </c>
      <c r="N20" s="66">
        <v>1</v>
      </c>
      <c r="O20" s="66">
        <v>1</v>
      </c>
      <c r="P20" s="66">
        <v>1</v>
      </c>
      <c r="Q20" s="66">
        <v>1</v>
      </c>
      <c r="R20" s="66">
        <v>1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1.5979999999999999</v>
      </c>
      <c r="G21" s="87">
        <f>G20*0.132</f>
        <v>0.13200000000000001</v>
      </c>
      <c r="H21" s="87">
        <f>H20*0.132</f>
        <v>0.13200000000000001</v>
      </c>
      <c r="I21" s="87">
        <f>I20*0.132</f>
        <v>0.26400000000000001</v>
      </c>
      <c r="J21" s="87">
        <f>J20*0.133</f>
        <v>0.13300000000000001</v>
      </c>
      <c r="K21" s="87">
        <f t="shared" ref="K21:Q21" si="2">K20*0.134</f>
        <v>0.13400000000000001</v>
      </c>
      <c r="L21" s="87">
        <f t="shared" si="2"/>
        <v>0.13400000000000001</v>
      </c>
      <c r="M21" s="87">
        <f t="shared" si="2"/>
        <v>0</v>
      </c>
      <c r="N21" s="87">
        <f t="shared" si="2"/>
        <v>0.13400000000000001</v>
      </c>
      <c r="O21" s="87">
        <f t="shared" si="2"/>
        <v>0.13400000000000001</v>
      </c>
      <c r="P21" s="87">
        <f t="shared" si="2"/>
        <v>0.13400000000000001</v>
      </c>
      <c r="Q21" s="87">
        <f t="shared" si="2"/>
        <v>0.13400000000000001</v>
      </c>
      <c r="R21" s="87">
        <f>R20*0.133</f>
        <v>0.13300000000000001</v>
      </c>
      <c r="S21" s="72"/>
      <c r="T21" s="81">
        <f>G21*1000/G20</f>
        <v>132</v>
      </c>
      <c r="U21" s="81">
        <f t="shared" ref="U21:AE21" si="3">H21*1000/H20</f>
        <v>132</v>
      </c>
      <c r="V21" s="81">
        <f t="shared" si="3"/>
        <v>132</v>
      </c>
      <c r="W21" s="81">
        <f t="shared" si="3"/>
        <v>133</v>
      </c>
      <c r="X21" s="81">
        <f t="shared" si="3"/>
        <v>134</v>
      </c>
      <c r="Y21" s="81">
        <f t="shared" si="3"/>
        <v>134</v>
      </c>
      <c r="Z21" s="81" t="e">
        <f t="shared" si="3"/>
        <v>#DIV/0!</v>
      </c>
      <c r="AA21" s="81">
        <f t="shared" si="3"/>
        <v>134</v>
      </c>
      <c r="AB21" s="81">
        <f t="shared" si="3"/>
        <v>134</v>
      </c>
      <c r="AC21" s="81">
        <f t="shared" si="3"/>
        <v>134</v>
      </c>
      <c r="AD21" s="81">
        <f t="shared" si="3"/>
        <v>134</v>
      </c>
      <c r="AE21" s="81">
        <f t="shared" si="3"/>
        <v>133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12.5</v>
      </c>
      <c r="G22" s="66">
        <v>13</v>
      </c>
      <c r="H22" s="66">
        <v>14</v>
      </c>
      <c r="I22" s="66">
        <v>13</v>
      </c>
      <c r="J22" s="66">
        <v>13</v>
      </c>
      <c r="K22" s="66">
        <v>14</v>
      </c>
      <c r="L22" s="66">
        <v>15</v>
      </c>
      <c r="M22" s="66">
        <v>13</v>
      </c>
      <c r="N22" s="66">
        <v>12</v>
      </c>
      <c r="O22" s="66">
        <v>12</v>
      </c>
      <c r="P22" s="66">
        <v>13</v>
      </c>
      <c r="Q22" s="66">
        <v>10</v>
      </c>
      <c r="R22" s="66">
        <v>8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25.878270000000001</v>
      </c>
      <c r="G23" s="87">
        <f>G22*5.71*31/1000</f>
        <v>2.3011300000000001</v>
      </c>
      <c r="H23" s="87">
        <f>H22*5.12*29/1000</f>
        <v>2.0787200000000001</v>
      </c>
      <c r="I23" s="87">
        <f>I22*5.52*31/1000</f>
        <v>2.2245599999999994</v>
      </c>
      <c r="J23" s="87">
        <f>J22*5.63*31/1000</f>
        <v>2.2688899999999999</v>
      </c>
      <c r="K23" s="87">
        <f>K22*5.69*31/1000</f>
        <v>2.4694600000000007</v>
      </c>
      <c r="L23" s="87">
        <f>L22*5.72*30/1000</f>
        <v>2.5739999999999998</v>
      </c>
      <c r="M23" s="87">
        <f>M22*5.74*31/1000</f>
        <v>2.3132200000000003</v>
      </c>
      <c r="N23" s="87">
        <f>N22*5.75*31/1000</f>
        <v>2.1389999999999998</v>
      </c>
      <c r="O23" s="87">
        <f>O22*5.76*30/1000</f>
        <v>2.0736000000000003</v>
      </c>
      <c r="P23" s="87">
        <f>P22*5.71*31/1000</f>
        <v>2.3011300000000001</v>
      </c>
      <c r="Q23" s="87">
        <f>Q22*5.72*30/1000</f>
        <v>1.7159999999999997</v>
      </c>
      <c r="R23" s="87">
        <f>R22*5.72*31/1000</f>
        <v>1.41856</v>
      </c>
      <c r="S23" s="72"/>
      <c r="T23" s="81">
        <f>(G23*1000/G22)/31</f>
        <v>5.7100000000000009</v>
      </c>
      <c r="U23" s="81">
        <f>(H23*1000/H22)/28</f>
        <v>5.3028571428571434</v>
      </c>
      <c r="V23" s="81">
        <f t="shared" ref="V23:AE23" si="4">(I23*1000/I22)/31</f>
        <v>5.5199999999999987</v>
      </c>
      <c r="W23" s="81">
        <f>(J23*1000/J22)/30</f>
        <v>5.8176666666666668</v>
      </c>
      <c r="X23" s="81">
        <f t="shared" si="4"/>
        <v>5.6900000000000013</v>
      </c>
      <c r="Y23" s="81">
        <f>(L23*1000/L22)/30</f>
        <v>5.72</v>
      </c>
      <c r="Z23" s="81">
        <f t="shared" si="4"/>
        <v>5.7400000000000011</v>
      </c>
      <c r="AA23" s="81">
        <f t="shared" si="4"/>
        <v>5.75</v>
      </c>
      <c r="AB23" s="81">
        <f>(O23*1000/O22)/30</f>
        <v>5.7600000000000016</v>
      </c>
      <c r="AC23" s="81">
        <f t="shared" si="4"/>
        <v>5.7100000000000009</v>
      </c>
      <c r="AD23" s="81">
        <f>(Q23*1000/Q22)/30</f>
        <v>5.7199999999999989</v>
      </c>
      <c r="AE23" s="81">
        <f t="shared" si="4"/>
        <v>5.72</v>
      </c>
    </row>
    <row r="24" spans="2:31" ht="16.5" x14ac:dyDescent="0.3">
      <c r="B24" s="76"/>
      <c r="C24" s="65" t="s">
        <v>35</v>
      </c>
      <c r="D24" s="15" t="s">
        <v>36</v>
      </c>
      <c r="E24" s="66">
        <v>75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21</v>
      </c>
      <c r="G25" s="66">
        <v>1</v>
      </c>
      <c r="H25" s="66">
        <v>1</v>
      </c>
      <c r="I25" s="66">
        <v>2</v>
      </c>
      <c r="J25" s="66">
        <v>3</v>
      </c>
      <c r="K25" s="66">
        <v>2</v>
      </c>
      <c r="L25" s="66">
        <v>3</v>
      </c>
      <c r="M25" s="66">
        <v>1</v>
      </c>
      <c r="N25" s="66">
        <v>2</v>
      </c>
      <c r="O25" s="66">
        <v>2</v>
      </c>
      <c r="P25" s="66">
        <v>1</v>
      </c>
      <c r="Q25" s="66">
        <v>2</v>
      </c>
      <c r="R25" s="66">
        <v>1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0.28090000000000004</v>
      </c>
      <c r="G26" s="87">
        <f>G25*0.013</f>
        <v>1.2999999999999999E-2</v>
      </c>
      <c r="H26" s="87">
        <f>H25*0.013</f>
        <v>1.2999999999999999E-2</v>
      </c>
      <c r="I26" s="87">
        <f>I25*0.0133</f>
        <v>2.6599999999999999E-2</v>
      </c>
      <c r="J26" s="87">
        <f>J25*0.0135</f>
        <v>4.0500000000000001E-2</v>
      </c>
      <c r="K26" s="87">
        <f>K25*0.0138</f>
        <v>2.76E-2</v>
      </c>
      <c r="L26" s="87">
        <f>L25*0.0137</f>
        <v>4.1099999999999998E-2</v>
      </c>
      <c r="M26" s="87">
        <f>M25*0.0135</f>
        <v>1.35E-2</v>
      </c>
      <c r="N26" s="87">
        <f>N25*0.0134</f>
        <v>2.6800000000000001E-2</v>
      </c>
      <c r="O26" s="87">
        <f>O25*0.0133</f>
        <v>2.6599999999999999E-2</v>
      </c>
      <c r="P26" s="87">
        <f>P25*0.0132</f>
        <v>1.32E-2</v>
      </c>
      <c r="Q26" s="87">
        <f>Q25*0.013</f>
        <v>2.5999999999999999E-2</v>
      </c>
      <c r="R26" s="87">
        <f>R25*0.013</f>
        <v>1.2999999999999999E-2</v>
      </c>
      <c r="S26" s="72"/>
      <c r="T26" s="81">
        <f>G26*1000/G25</f>
        <v>13</v>
      </c>
      <c r="U26" s="81">
        <f t="shared" ref="U26:AE26" si="5">H26*1000/H25</f>
        <v>13</v>
      </c>
      <c r="V26" s="81">
        <f t="shared" si="5"/>
        <v>13.299999999999999</v>
      </c>
      <c r="W26" s="81">
        <f t="shared" si="5"/>
        <v>13.5</v>
      </c>
      <c r="X26" s="81">
        <f t="shared" si="5"/>
        <v>13.799999999999999</v>
      </c>
      <c r="Y26" s="81">
        <f t="shared" si="5"/>
        <v>13.699999999999998</v>
      </c>
      <c r="Z26" s="81">
        <f t="shared" si="5"/>
        <v>13.5</v>
      </c>
      <c r="AA26" s="81">
        <f t="shared" si="5"/>
        <v>13.4</v>
      </c>
      <c r="AB26" s="81">
        <f t="shared" si="5"/>
        <v>13.299999999999999</v>
      </c>
      <c r="AC26" s="81">
        <f t="shared" si="5"/>
        <v>13.2</v>
      </c>
      <c r="AD26" s="81">
        <f t="shared" si="5"/>
        <v>13</v>
      </c>
      <c r="AE26" s="81">
        <f t="shared" si="5"/>
        <v>13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290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116</v>
      </c>
      <c r="G30" s="66">
        <v>11</v>
      </c>
      <c r="H30" s="66">
        <v>10</v>
      </c>
      <c r="I30" s="66">
        <v>11</v>
      </c>
      <c r="J30" s="66">
        <v>10</v>
      </c>
      <c r="K30" s="66">
        <v>10</v>
      </c>
      <c r="L30" s="66">
        <v>9</v>
      </c>
      <c r="M30" s="66">
        <v>11</v>
      </c>
      <c r="N30" s="66">
        <v>8</v>
      </c>
      <c r="O30" s="66">
        <v>9</v>
      </c>
      <c r="P30" s="66">
        <v>10</v>
      </c>
      <c r="Q30" s="66">
        <v>9</v>
      </c>
      <c r="R30" s="66">
        <v>8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6.4960000000000004</v>
      </c>
      <c r="G31" s="87">
        <f t="shared" ref="G31:L31" si="6">G30*0.056</f>
        <v>0.61599999999999999</v>
      </c>
      <c r="H31" s="87">
        <f t="shared" si="6"/>
        <v>0.56000000000000005</v>
      </c>
      <c r="I31" s="87">
        <f t="shared" si="6"/>
        <v>0.61599999999999999</v>
      </c>
      <c r="J31" s="87">
        <f t="shared" si="6"/>
        <v>0.56000000000000005</v>
      </c>
      <c r="K31" s="87">
        <f t="shared" si="6"/>
        <v>0.56000000000000005</v>
      </c>
      <c r="L31" s="87">
        <f t="shared" si="6"/>
        <v>0.504</v>
      </c>
      <c r="M31" s="87">
        <f t="shared" ref="M31:R31" si="7">M30*0.056</f>
        <v>0.61599999999999999</v>
      </c>
      <c r="N31" s="87">
        <f t="shared" si="7"/>
        <v>0.44800000000000001</v>
      </c>
      <c r="O31" s="87">
        <f t="shared" si="7"/>
        <v>0.504</v>
      </c>
      <c r="P31" s="87">
        <f t="shared" si="7"/>
        <v>0.56000000000000005</v>
      </c>
      <c r="Q31" s="87">
        <f t="shared" si="7"/>
        <v>0.504</v>
      </c>
      <c r="R31" s="87">
        <f t="shared" si="7"/>
        <v>0.44800000000000001</v>
      </c>
      <c r="S31" s="72"/>
      <c r="T31" s="81">
        <f>G31*1000/G30</f>
        <v>56</v>
      </c>
      <c r="U31" s="81">
        <f t="shared" ref="U31:AE31" si="8">H31*1000/H30</f>
        <v>56</v>
      </c>
      <c r="V31" s="81">
        <f t="shared" si="8"/>
        <v>56</v>
      </c>
      <c r="W31" s="81">
        <f t="shared" si="8"/>
        <v>56</v>
      </c>
      <c r="X31" s="81">
        <f t="shared" si="8"/>
        <v>56</v>
      </c>
      <c r="Y31" s="81">
        <f t="shared" si="8"/>
        <v>56</v>
      </c>
      <c r="Z31" s="81">
        <f t="shared" si="8"/>
        <v>56</v>
      </c>
      <c r="AA31" s="81">
        <f t="shared" si="8"/>
        <v>56</v>
      </c>
      <c r="AB31" s="81">
        <f t="shared" si="8"/>
        <v>56</v>
      </c>
      <c r="AC31" s="81">
        <f t="shared" si="8"/>
        <v>56</v>
      </c>
      <c r="AD31" s="81">
        <f t="shared" si="8"/>
        <v>56</v>
      </c>
      <c r="AE31" s="81">
        <f t="shared" si="8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50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28</v>
      </c>
      <c r="G33" s="66">
        <v>1</v>
      </c>
      <c r="H33" s="66">
        <v>1</v>
      </c>
      <c r="I33" s="66">
        <v>2</v>
      </c>
      <c r="J33" s="66">
        <v>3</v>
      </c>
      <c r="K33" s="66">
        <v>2</v>
      </c>
      <c r="L33" s="66">
        <v>4</v>
      </c>
      <c r="M33" s="66">
        <v>3</v>
      </c>
      <c r="N33" s="66">
        <v>2</v>
      </c>
      <c r="O33" s="66">
        <v>3</v>
      </c>
      <c r="P33" s="66">
        <v>2</v>
      </c>
      <c r="Q33" s="66">
        <v>3</v>
      </c>
      <c r="R33" s="66">
        <v>2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0.30800000000000005</v>
      </c>
      <c r="G34" s="87">
        <f t="shared" ref="G34:L34" si="9">G33*0.011</f>
        <v>1.0999999999999999E-2</v>
      </c>
      <c r="H34" s="87">
        <f t="shared" si="9"/>
        <v>1.0999999999999999E-2</v>
      </c>
      <c r="I34" s="87">
        <f t="shared" si="9"/>
        <v>2.1999999999999999E-2</v>
      </c>
      <c r="J34" s="87">
        <f t="shared" si="9"/>
        <v>3.3000000000000002E-2</v>
      </c>
      <c r="K34" s="87">
        <f t="shared" si="9"/>
        <v>2.1999999999999999E-2</v>
      </c>
      <c r="L34" s="87">
        <f t="shared" si="9"/>
        <v>4.3999999999999997E-2</v>
      </c>
      <c r="M34" s="87">
        <f t="shared" ref="M34:R34" si="10">M33*0.011</f>
        <v>3.3000000000000002E-2</v>
      </c>
      <c r="N34" s="87">
        <f t="shared" si="10"/>
        <v>2.1999999999999999E-2</v>
      </c>
      <c r="O34" s="87">
        <f t="shared" si="10"/>
        <v>3.3000000000000002E-2</v>
      </c>
      <c r="P34" s="87">
        <f t="shared" si="10"/>
        <v>2.1999999999999999E-2</v>
      </c>
      <c r="Q34" s="87">
        <f t="shared" si="10"/>
        <v>3.3000000000000002E-2</v>
      </c>
      <c r="R34" s="87">
        <f t="shared" si="10"/>
        <v>2.1999999999999999E-2</v>
      </c>
      <c r="S34" s="72"/>
      <c r="T34" s="81">
        <f>G34*1000/G33</f>
        <v>11</v>
      </c>
      <c r="U34" s="81">
        <f t="shared" ref="U34:AE34" si="11">H34*1000/H33</f>
        <v>11</v>
      </c>
      <c r="V34" s="81">
        <f t="shared" si="11"/>
        <v>11</v>
      </c>
      <c r="W34" s="81">
        <f t="shared" si="11"/>
        <v>11</v>
      </c>
      <c r="X34" s="81">
        <f t="shared" si="11"/>
        <v>11</v>
      </c>
      <c r="Y34" s="81">
        <f t="shared" si="11"/>
        <v>11</v>
      </c>
      <c r="Z34" s="81">
        <f t="shared" si="11"/>
        <v>11</v>
      </c>
      <c r="AA34" s="81">
        <f t="shared" si="11"/>
        <v>11</v>
      </c>
      <c r="AB34" s="81">
        <f t="shared" si="11"/>
        <v>11</v>
      </c>
      <c r="AC34" s="81">
        <f t="shared" si="11"/>
        <v>11</v>
      </c>
      <c r="AD34" s="81">
        <f t="shared" si="11"/>
        <v>11</v>
      </c>
      <c r="AE34" s="81">
        <f t="shared" si="11"/>
        <v>11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12">H37*1000/H36</f>
        <v>#DIV/0!</v>
      </c>
      <c r="V37" s="81" t="e">
        <f t="shared" si="12"/>
        <v>#DIV/0!</v>
      </c>
      <c r="W37" s="81" t="e">
        <f t="shared" si="12"/>
        <v>#DIV/0!</v>
      </c>
      <c r="X37" s="81" t="e">
        <f t="shared" si="12"/>
        <v>#DIV/0!</v>
      </c>
      <c r="Y37" s="81" t="e">
        <f t="shared" si="12"/>
        <v>#DIV/0!</v>
      </c>
      <c r="Z37" s="81" t="e">
        <f t="shared" si="12"/>
        <v>#DIV/0!</v>
      </c>
      <c r="AA37" s="81" t="e">
        <f t="shared" si="12"/>
        <v>#DIV/0!</v>
      </c>
      <c r="AB37" s="81" t="e">
        <f t="shared" si="12"/>
        <v>#DIV/0!</v>
      </c>
      <c r="AC37" s="81" t="e">
        <f t="shared" si="12"/>
        <v>#DIV/0!</v>
      </c>
      <c r="AD37" s="81" t="e">
        <f t="shared" si="12"/>
        <v>#DIV/0!</v>
      </c>
      <c r="AE37" s="81" t="e">
        <f t="shared" si="12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/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3">H42*1000/H41</f>
        <v>#DIV/0!</v>
      </c>
      <c r="V42" s="81" t="e">
        <f t="shared" si="13"/>
        <v>#DIV/0!</v>
      </c>
      <c r="W42" s="81" t="e">
        <f t="shared" si="13"/>
        <v>#DIV/0!</v>
      </c>
      <c r="X42" s="81" t="e">
        <f t="shared" si="13"/>
        <v>#DIV/0!</v>
      </c>
      <c r="Y42" s="81" t="e">
        <f t="shared" si="13"/>
        <v>#DIV/0!</v>
      </c>
      <c r="Z42" s="81" t="e">
        <f t="shared" si="13"/>
        <v>#DIV/0!</v>
      </c>
      <c r="AA42" s="81" t="e">
        <f t="shared" si="13"/>
        <v>#DIV/0!</v>
      </c>
      <c r="AB42" s="81" t="e">
        <f t="shared" si="13"/>
        <v>#DIV/0!</v>
      </c>
      <c r="AC42" s="81" t="e">
        <f t="shared" si="13"/>
        <v>#DIV/0!</v>
      </c>
      <c r="AD42" s="81" t="e">
        <f t="shared" si="13"/>
        <v>#DIV/0!</v>
      </c>
      <c r="AE42" s="81" t="e">
        <f t="shared" si="13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/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71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F52"/>
  <sheetViews>
    <sheetView zoomScale="84" zoomScaleNormal="84" workbookViewId="0">
      <pane xSplit="6" ySplit="14" topLeftCell="G15" activePane="bottomRight" state="frozen"/>
      <selection pane="topRight" activeCell="J1" sqref="J1"/>
      <selection pane="bottomLeft" activeCell="A15" sqref="A15"/>
      <selection pane="bottomRight" activeCell="T1" sqref="T1:AF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5.28515625" customWidth="1"/>
    <col min="20" max="31" width="9.7109375" hidden="1" customWidth="1"/>
    <col min="32" max="32" width="0" hidden="1" customWidth="1"/>
  </cols>
  <sheetData>
    <row r="1" spans="2:31" x14ac:dyDescent="0.2">
      <c r="B1" s="144" t="s">
        <v>0</v>
      </c>
      <c r="C1" s="144"/>
      <c r="D1" s="144"/>
      <c r="E1" s="144"/>
      <c r="F1" s="1"/>
    </row>
    <row r="2" spans="2:31" x14ac:dyDescent="0.2">
      <c r="B2" s="144" t="s">
        <v>1</v>
      </c>
      <c r="C2" s="144"/>
      <c r="D2" s="144"/>
      <c r="E2" s="144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2:31" x14ac:dyDescent="0.2">
      <c r="B3" s="144" t="s">
        <v>2</v>
      </c>
      <c r="C3" s="144"/>
      <c r="D3" s="144"/>
      <c r="E3" s="144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2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2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2025</v>
      </c>
      <c r="L7" s="46"/>
      <c r="M7" s="46"/>
      <c r="N7" s="46"/>
      <c r="O7" s="46"/>
      <c r="P7" s="46"/>
      <c r="Q7" s="46"/>
      <c r="R7" s="46"/>
    </row>
    <row r="8" spans="2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2:31" x14ac:dyDescent="0.2">
      <c r="B9" s="50" t="s">
        <v>68</v>
      </c>
      <c r="C9" s="46"/>
      <c r="D9" s="51" t="s">
        <v>83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2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2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2:31" x14ac:dyDescent="0.2">
      <c r="B12" s="56" t="s">
        <v>8</v>
      </c>
      <c r="C12" s="57" t="s">
        <v>9</v>
      </c>
      <c r="D12" s="57" t="s">
        <v>72</v>
      </c>
      <c r="E12" s="113">
        <f>Caravel!E12</f>
        <v>2025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2:31" x14ac:dyDescent="0.2">
      <c r="B13" s="60"/>
      <c r="C13" s="61"/>
      <c r="D13" s="62" t="s">
        <v>73</v>
      </c>
      <c r="E13" s="96" t="s">
        <v>33</v>
      </c>
      <c r="F13" s="113">
        <f>Caravel!F13</f>
        <v>2025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2:31" ht="16.5" x14ac:dyDescent="0.3">
      <c r="B14" s="64" t="s">
        <v>34</v>
      </c>
      <c r="C14" s="65" t="s">
        <v>35</v>
      </c>
      <c r="D14" s="15" t="s">
        <v>36</v>
      </c>
      <c r="E14" s="66">
        <v>360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2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420</v>
      </c>
      <c r="G15" s="66">
        <v>35</v>
      </c>
      <c r="H15" s="66">
        <v>36</v>
      </c>
      <c r="I15" s="66">
        <v>37</v>
      </c>
      <c r="J15" s="66">
        <v>30</v>
      </c>
      <c r="K15" s="66">
        <v>32</v>
      </c>
      <c r="L15" s="66">
        <v>36</v>
      </c>
      <c r="M15" s="66">
        <v>32</v>
      </c>
      <c r="N15" s="66">
        <v>34</v>
      </c>
      <c r="O15" s="66">
        <v>41</v>
      </c>
      <c r="P15" s="66">
        <v>39</v>
      </c>
      <c r="Q15" s="66">
        <v>36</v>
      </c>
      <c r="R15" s="66">
        <v>32</v>
      </c>
      <c r="S15" s="77"/>
    </row>
    <row r="16" spans="2:31" ht="16.5" x14ac:dyDescent="0.3">
      <c r="B16" s="60"/>
      <c r="C16" s="65" t="s">
        <v>40</v>
      </c>
      <c r="D16" s="15" t="s">
        <v>41</v>
      </c>
      <c r="E16" s="66"/>
      <c r="F16" s="87">
        <f>SUM(G16:R16)</f>
        <v>0.94072999999999996</v>
      </c>
      <c r="G16" s="87">
        <f>G15*0.00225</f>
        <v>7.8750000000000001E-2</v>
      </c>
      <c r="H16" s="87">
        <f>H15*0.00225</f>
        <v>8.0999999999999989E-2</v>
      </c>
      <c r="I16" s="87">
        <f>I15*0.00225</f>
        <v>8.3249999999999991E-2</v>
      </c>
      <c r="J16" s="87">
        <f>J15*0.00225</f>
        <v>6.7499999999999991E-2</v>
      </c>
      <c r="K16" s="87">
        <f>K15*0.00224</f>
        <v>7.1679999999999994E-2</v>
      </c>
      <c r="L16" s="87">
        <f>L15*0.00223</f>
        <v>8.0280000000000004E-2</v>
      </c>
      <c r="M16" s="87">
        <f>M15*0.00223</f>
        <v>7.1360000000000007E-2</v>
      </c>
      <c r="N16" s="87">
        <f>N15*0.00222</f>
        <v>7.5480000000000005E-2</v>
      </c>
      <c r="O16" s="87">
        <f>O15*0.00223</f>
        <v>9.1430000000000011E-2</v>
      </c>
      <c r="P16" s="87">
        <f>P15*0.00224</f>
        <v>8.7359999999999993E-2</v>
      </c>
      <c r="Q16" s="87">
        <f>Q15*0.00224</f>
        <v>8.0639999999999989E-2</v>
      </c>
      <c r="R16" s="87">
        <f>R15*0.00225</f>
        <v>7.1999999999999995E-2</v>
      </c>
      <c r="T16" s="81">
        <f>G16*1000/G15</f>
        <v>2.25</v>
      </c>
      <c r="U16" s="81">
        <f t="shared" ref="U16:AE16" si="0">H16*1000/H15</f>
        <v>2.2499999999999996</v>
      </c>
      <c r="V16" s="81">
        <f t="shared" si="0"/>
        <v>2.2499999999999996</v>
      </c>
      <c r="W16" s="81">
        <f t="shared" si="0"/>
        <v>2.2499999999999996</v>
      </c>
      <c r="X16" s="81">
        <f t="shared" si="0"/>
        <v>2.2399999999999998</v>
      </c>
      <c r="Y16" s="81">
        <f t="shared" si="0"/>
        <v>2.23</v>
      </c>
      <c r="Z16" s="81">
        <f t="shared" si="0"/>
        <v>2.2300000000000004</v>
      </c>
      <c r="AA16" s="81">
        <f t="shared" si="0"/>
        <v>2.2200000000000002</v>
      </c>
      <c r="AB16" s="81">
        <f t="shared" si="0"/>
        <v>2.23</v>
      </c>
      <c r="AC16" s="81">
        <f t="shared" si="0"/>
        <v>2.2399999999999998</v>
      </c>
      <c r="AD16" s="81">
        <f t="shared" si="0"/>
        <v>2.2399999999999998</v>
      </c>
      <c r="AE16" s="81">
        <f t="shared" si="0"/>
        <v>2.25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81.166666666666671</v>
      </c>
      <c r="G17" s="75">
        <v>82</v>
      </c>
      <c r="H17" s="75">
        <v>80</v>
      </c>
      <c r="I17" s="75">
        <v>72</v>
      </c>
      <c r="J17" s="75">
        <v>70</v>
      </c>
      <c r="K17" s="75">
        <v>69</v>
      </c>
      <c r="L17" s="75">
        <v>72</v>
      </c>
      <c r="M17" s="75">
        <v>70</v>
      </c>
      <c r="N17" s="75">
        <v>68</v>
      </c>
      <c r="O17" s="75">
        <v>94</v>
      </c>
      <c r="P17" s="75">
        <v>92</v>
      </c>
      <c r="Q17" s="75">
        <v>105</v>
      </c>
      <c r="R17" s="75">
        <v>100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0.7211249999999999</v>
      </c>
      <c r="G18" s="87">
        <f>((G17*12)/16)/1000</f>
        <v>6.1499999999999999E-2</v>
      </c>
      <c r="H18" s="87">
        <f>((H17*13)/16)/1000</f>
        <v>6.5000000000000002E-2</v>
      </c>
      <c r="I18" s="87">
        <f>((I17*13)/16)/1000</f>
        <v>5.8500000000000003E-2</v>
      </c>
      <c r="J18" s="87">
        <f>((J17*13)/16)/1000</f>
        <v>5.6875000000000002E-2</v>
      </c>
      <c r="K18" s="87">
        <f>((K17*12)/16)/1000</f>
        <v>5.1749999999999997E-2</v>
      </c>
      <c r="L18" s="87">
        <f>((L17*11)/16)/1000</f>
        <v>4.9500000000000002E-2</v>
      </c>
      <c r="M18" s="87">
        <f>((M17*11)/16)/1000</f>
        <v>4.8125000000000001E-2</v>
      </c>
      <c r="N18" s="87">
        <f>((N17*10)/16)/1000</f>
        <v>4.2500000000000003E-2</v>
      </c>
      <c r="O18" s="87">
        <f>((O17*11)/16)/1000</f>
        <v>6.4625000000000002E-2</v>
      </c>
      <c r="P18" s="87">
        <f>((P17*12)/16)/1000</f>
        <v>6.9000000000000006E-2</v>
      </c>
      <c r="Q18" s="87">
        <f>((Q17*12)/16)/1000</f>
        <v>7.8750000000000001E-2</v>
      </c>
      <c r="R18" s="87">
        <f>((R17*12)/16)/1000</f>
        <v>7.4999999999999997E-2</v>
      </c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11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120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23</v>
      </c>
      <c r="G20" s="66">
        <v>2</v>
      </c>
      <c r="H20" s="66">
        <v>1</v>
      </c>
      <c r="I20" s="66">
        <v>2</v>
      </c>
      <c r="J20" s="66">
        <v>3</v>
      </c>
      <c r="K20" s="66">
        <v>2</v>
      </c>
      <c r="L20" s="66">
        <v>1</v>
      </c>
      <c r="M20" s="66">
        <v>3</v>
      </c>
      <c r="N20" s="66">
        <v>2</v>
      </c>
      <c r="O20" s="66">
        <v>2</v>
      </c>
      <c r="P20" s="66">
        <v>1</v>
      </c>
      <c r="Q20" s="66">
        <v>2</v>
      </c>
      <c r="R20" s="66">
        <v>2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3.544</v>
      </c>
      <c r="G21" s="87">
        <f>G20*0.155</f>
        <v>0.31</v>
      </c>
      <c r="H21" s="87">
        <f>H20*0.15</f>
        <v>0.15</v>
      </c>
      <c r="I21" s="87">
        <f>I20*0.151</f>
        <v>0.30199999999999999</v>
      </c>
      <c r="J21" s="87">
        <f>J20*0.153</f>
        <v>0.45899999999999996</v>
      </c>
      <c r="K21" s="87">
        <f>K20*0.154</f>
        <v>0.308</v>
      </c>
      <c r="L21" s="87">
        <f t="shared" ref="L21:Q21" si="2">L20*0.155</f>
        <v>0.155</v>
      </c>
      <c r="M21" s="87">
        <f t="shared" si="2"/>
        <v>0.46499999999999997</v>
      </c>
      <c r="N21" s="87">
        <f t="shared" si="2"/>
        <v>0.31</v>
      </c>
      <c r="O21" s="87">
        <f t="shared" si="2"/>
        <v>0.31</v>
      </c>
      <c r="P21" s="87">
        <f t="shared" si="2"/>
        <v>0.155</v>
      </c>
      <c r="Q21" s="87">
        <f t="shared" si="2"/>
        <v>0.31</v>
      </c>
      <c r="R21" s="87">
        <f>R20*0.155</f>
        <v>0.31</v>
      </c>
      <c r="T21" s="81">
        <f>G21*1000/G20</f>
        <v>155</v>
      </c>
      <c r="U21" s="81">
        <f t="shared" ref="U21:AE21" si="3">H21*1000/H20</f>
        <v>150</v>
      </c>
      <c r="V21" s="81">
        <f t="shared" si="3"/>
        <v>151</v>
      </c>
      <c r="W21" s="81">
        <f t="shared" si="3"/>
        <v>152.99999999999997</v>
      </c>
      <c r="X21" s="81">
        <f t="shared" si="3"/>
        <v>154</v>
      </c>
      <c r="Y21" s="81">
        <f t="shared" si="3"/>
        <v>155</v>
      </c>
      <c r="Z21" s="81">
        <f t="shared" si="3"/>
        <v>154.99999999999997</v>
      </c>
      <c r="AA21" s="81">
        <f t="shared" si="3"/>
        <v>155</v>
      </c>
      <c r="AB21" s="81">
        <f t="shared" si="3"/>
        <v>155</v>
      </c>
      <c r="AC21" s="81">
        <f t="shared" si="3"/>
        <v>155</v>
      </c>
      <c r="AD21" s="81">
        <f t="shared" si="3"/>
        <v>155</v>
      </c>
      <c r="AE21" s="81">
        <f t="shared" si="3"/>
        <v>155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10.166666666666666</v>
      </c>
      <c r="G22" s="66">
        <v>12</v>
      </c>
      <c r="H22" s="66">
        <v>10</v>
      </c>
      <c r="I22" s="66">
        <v>9</v>
      </c>
      <c r="J22" s="66">
        <v>11</v>
      </c>
      <c r="K22" s="66">
        <v>12</v>
      </c>
      <c r="L22" s="66">
        <v>13</v>
      </c>
      <c r="M22" s="66">
        <v>12</v>
      </c>
      <c r="N22" s="66">
        <v>10</v>
      </c>
      <c r="O22" s="66">
        <v>8</v>
      </c>
      <c r="P22" s="66">
        <v>8</v>
      </c>
      <c r="Q22" s="66">
        <v>9</v>
      </c>
      <c r="R22" s="66">
        <v>8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26.585599999999999</v>
      </c>
      <c r="G23" s="87">
        <f>G22*7.26*31/1000</f>
        <v>2.7007200000000005</v>
      </c>
      <c r="H23" s="87">
        <f>H22*6.45*29/1000</f>
        <v>1.8705000000000001</v>
      </c>
      <c r="I23" s="87">
        <f>I22*7*31/1000</f>
        <v>1.9530000000000001</v>
      </c>
      <c r="J23" s="87">
        <f>J22*7.14*30/1000</f>
        <v>2.3561999999999999</v>
      </c>
      <c r="K23" s="87">
        <f>K22*7.19*31/1000</f>
        <v>2.6746799999999999</v>
      </c>
      <c r="L23" s="87">
        <f>L22*7.2*30/1000</f>
        <v>2.8080000000000003</v>
      </c>
      <c r="M23" s="87">
        <f>M22*7.23*31/1000</f>
        <v>2.6895599999999997</v>
      </c>
      <c r="N23" s="87">
        <f>N22*7.24*31/1000</f>
        <v>2.2444000000000002</v>
      </c>
      <c r="O23" s="87">
        <f>O22*7.25*30/1000</f>
        <v>1.74</v>
      </c>
      <c r="P23" s="87">
        <f>P22*7.23*31/1000</f>
        <v>1.7930400000000002</v>
      </c>
      <c r="Q23" s="87">
        <f>Q22*7.25*30/1000</f>
        <v>1.9575</v>
      </c>
      <c r="R23" s="87">
        <f>R22*7.25*31/1000</f>
        <v>1.798</v>
      </c>
      <c r="T23" s="81">
        <f>(G23*1000/G22)/31</f>
        <v>7.2600000000000007</v>
      </c>
      <c r="U23" s="81">
        <f>(H23*1000/H22)/28</f>
        <v>6.6803571428571429</v>
      </c>
      <c r="V23" s="81">
        <f t="shared" ref="V23:AE23" si="4">(I23*1000/I22)/31</f>
        <v>7</v>
      </c>
      <c r="W23" s="81">
        <f>(J23*1000/J22)/30</f>
        <v>7.14</v>
      </c>
      <c r="X23" s="81">
        <f t="shared" si="4"/>
        <v>7.1899999999999995</v>
      </c>
      <c r="Y23" s="81">
        <f>(L23*1000/L22)/30</f>
        <v>7.2000000000000011</v>
      </c>
      <c r="Z23" s="81">
        <f t="shared" si="4"/>
        <v>7.2299999999999995</v>
      </c>
      <c r="AA23" s="81">
        <f t="shared" si="4"/>
        <v>7.24</v>
      </c>
      <c r="AB23" s="81">
        <f>(O23*1000/O22)/30</f>
        <v>7.25</v>
      </c>
      <c r="AC23" s="81">
        <f t="shared" si="4"/>
        <v>7.23</v>
      </c>
      <c r="AD23" s="81">
        <f>(Q23*1000/Q22)/30</f>
        <v>7.25</v>
      </c>
      <c r="AE23" s="81">
        <f t="shared" si="4"/>
        <v>7.25</v>
      </c>
    </row>
    <row r="24" spans="2:31" ht="16.5" x14ac:dyDescent="0.3">
      <c r="B24" s="76"/>
      <c r="C24" s="65" t="s">
        <v>35</v>
      </c>
      <c r="D24" s="15" t="s">
        <v>36</v>
      </c>
      <c r="E24" s="66">
        <v>120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33</v>
      </c>
      <c r="G25" s="66">
        <v>2</v>
      </c>
      <c r="H25" s="66">
        <v>1</v>
      </c>
      <c r="I25" s="66">
        <v>2</v>
      </c>
      <c r="J25" s="66">
        <v>3</v>
      </c>
      <c r="K25" s="66">
        <v>4</v>
      </c>
      <c r="L25" s="66">
        <v>3</v>
      </c>
      <c r="M25" s="66">
        <v>3</v>
      </c>
      <c r="N25" s="66">
        <v>4</v>
      </c>
      <c r="O25" s="66">
        <v>3</v>
      </c>
      <c r="P25" s="66">
        <v>2</v>
      </c>
      <c r="Q25" s="66">
        <v>3</v>
      </c>
      <c r="R25" s="66">
        <v>3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0.46889999999999998</v>
      </c>
      <c r="G26" s="87">
        <f>G25*0.014</f>
        <v>2.8000000000000001E-2</v>
      </c>
      <c r="H26" s="87">
        <f>H25*0.0134</f>
        <v>1.34E-2</v>
      </c>
      <c r="I26" s="87">
        <f>I25*0.014</f>
        <v>2.8000000000000001E-2</v>
      </c>
      <c r="J26" s="87">
        <f>J25*0.0142</f>
        <v>4.2599999999999999E-2</v>
      </c>
      <c r="K26" s="87">
        <f>K25*0.0145</f>
        <v>5.8000000000000003E-2</v>
      </c>
      <c r="L26" s="87">
        <f>L25*0.0145</f>
        <v>4.3500000000000004E-2</v>
      </c>
      <c r="M26" s="87">
        <f>M25*0.0145</f>
        <v>4.3500000000000004E-2</v>
      </c>
      <c r="N26" s="87">
        <f>N25*0.0144</f>
        <v>5.7599999999999998E-2</v>
      </c>
      <c r="O26" s="87">
        <f>O25*0.0143</f>
        <v>4.2900000000000001E-2</v>
      </c>
      <c r="P26" s="87">
        <f>P25*0.014</f>
        <v>2.8000000000000001E-2</v>
      </c>
      <c r="Q26" s="87">
        <f>Q25*0.014</f>
        <v>4.2000000000000003E-2</v>
      </c>
      <c r="R26" s="87">
        <f>R25*0.0138</f>
        <v>4.1399999999999999E-2</v>
      </c>
      <c r="T26" s="81">
        <f>G26*1000/G25</f>
        <v>14</v>
      </c>
      <c r="U26" s="81">
        <f t="shared" ref="U26:AE26" si="5">H26*1000/H25</f>
        <v>13.4</v>
      </c>
      <c r="V26" s="81">
        <f t="shared" si="5"/>
        <v>14</v>
      </c>
      <c r="W26" s="81">
        <f t="shared" si="5"/>
        <v>14.200000000000001</v>
      </c>
      <c r="X26" s="81">
        <f t="shared" si="5"/>
        <v>14.5</v>
      </c>
      <c r="Y26" s="81">
        <f t="shared" si="5"/>
        <v>14.500000000000002</v>
      </c>
      <c r="Z26" s="81">
        <f t="shared" si="5"/>
        <v>14.500000000000002</v>
      </c>
      <c r="AA26" s="81">
        <f t="shared" si="5"/>
        <v>14.4</v>
      </c>
      <c r="AB26" s="81">
        <f t="shared" si="5"/>
        <v>14.299999999999999</v>
      </c>
      <c r="AC26" s="81">
        <f t="shared" si="5"/>
        <v>14</v>
      </c>
      <c r="AD26" s="81">
        <f t="shared" si="5"/>
        <v>14</v>
      </c>
      <c r="AE26" s="81">
        <f t="shared" si="5"/>
        <v>13.799999999999999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260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108</v>
      </c>
      <c r="G30" s="66">
        <v>9</v>
      </c>
      <c r="H30" s="66">
        <v>8</v>
      </c>
      <c r="I30" s="66">
        <v>9</v>
      </c>
      <c r="J30" s="66">
        <v>8</v>
      </c>
      <c r="K30" s="66">
        <v>9</v>
      </c>
      <c r="L30" s="66">
        <v>11</v>
      </c>
      <c r="M30" s="66">
        <v>10</v>
      </c>
      <c r="N30" s="66">
        <v>9</v>
      </c>
      <c r="O30" s="66">
        <v>10</v>
      </c>
      <c r="P30" s="66">
        <v>8</v>
      </c>
      <c r="Q30" s="66">
        <v>9</v>
      </c>
      <c r="R30" s="66">
        <v>8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6.1210000000000004</v>
      </c>
      <c r="G31" s="107">
        <f t="shared" ref="G31:M31" si="6">G30*0.057</f>
        <v>0.51300000000000001</v>
      </c>
      <c r="H31" s="107">
        <f t="shared" si="6"/>
        <v>0.45600000000000002</v>
      </c>
      <c r="I31" s="107">
        <f t="shared" si="6"/>
        <v>0.51300000000000001</v>
      </c>
      <c r="J31" s="107">
        <f t="shared" si="6"/>
        <v>0.45600000000000002</v>
      </c>
      <c r="K31" s="107">
        <f t="shared" si="6"/>
        <v>0.51300000000000001</v>
      </c>
      <c r="L31" s="107">
        <f t="shared" si="6"/>
        <v>0.627</v>
      </c>
      <c r="M31" s="107">
        <f t="shared" si="6"/>
        <v>0.57000000000000006</v>
      </c>
      <c r="N31" s="107">
        <f>N30*0.057</f>
        <v>0.51300000000000001</v>
      </c>
      <c r="O31" s="107">
        <f>O30*0.056</f>
        <v>0.56000000000000005</v>
      </c>
      <c r="P31" s="107">
        <f>P30*0.056</f>
        <v>0.44800000000000001</v>
      </c>
      <c r="Q31" s="107">
        <f>Q30*0.056</f>
        <v>0.504</v>
      </c>
      <c r="R31" s="107">
        <f>R30*0.056</f>
        <v>0.44800000000000001</v>
      </c>
      <c r="T31" s="81">
        <f>G31*1000/G30</f>
        <v>57</v>
      </c>
      <c r="U31" s="81">
        <f t="shared" ref="U31:AE31" si="7">H31*1000/H30</f>
        <v>57</v>
      </c>
      <c r="V31" s="81">
        <f t="shared" si="7"/>
        <v>57</v>
      </c>
      <c r="W31" s="81">
        <f t="shared" si="7"/>
        <v>57</v>
      </c>
      <c r="X31" s="81">
        <f t="shared" si="7"/>
        <v>57</v>
      </c>
      <c r="Y31" s="81">
        <f t="shared" si="7"/>
        <v>57</v>
      </c>
      <c r="Z31" s="81">
        <f t="shared" si="7"/>
        <v>57.000000000000014</v>
      </c>
      <c r="AA31" s="81">
        <f t="shared" si="7"/>
        <v>57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390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137</v>
      </c>
      <c r="G33" s="66">
        <v>12</v>
      </c>
      <c r="H33" s="66">
        <v>15</v>
      </c>
      <c r="I33" s="66">
        <v>13</v>
      </c>
      <c r="J33" s="66">
        <v>14</v>
      </c>
      <c r="K33" s="66">
        <v>13</v>
      </c>
      <c r="L33" s="66">
        <v>10</v>
      </c>
      <c r="M33" s="66">
        <v>10</v>
      </c>
      <c r="N33" s="66">
        <v>8</v>
      </c>
      <c r="O33" s="66">
        <v>11</v>
      </c>
      <c r="P33" s="66">
        <v>9</v>
      </c>
      <c r="Q33" s="66">
        <v>10</v>
      </c>
      <c r="R33" s="66">
        <v>12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1.5070000000000001</v>
      </c>
      <c r="G34" s="87">
        <f t="shared" ref="G34:L34" si="8">G33*0.011</f>
        <v>0.13200000000000001</v>
      </c>
      <c r="H34" s="87">
        <f t="shared" si="8"/>
        <v>0.16499999999999998</v>
      </c>
      <c r="I34" s="87">
        <f t="shared" si="8"/>
        <v>0.14299999999999999</v>
      </c>
      <c r="J34" s="87">
        <f t="shared" si="8"/>
        <v>0.154</v>
      </c>
      <c r="K34" s="87">
        <f t="shared" si="8"/>
        <v>0.14299999999999999</v>
      </c>
      <c r="L34" s="87">
        <f t="shared" si="8"/>
        <v>0.10999999999999999</v>
      </c>
      <c r="M34" s="87">
        <f t="shared" ref="M34:R34" si="9">M33*0.011</f>
        <v>0.10999999999999999</v>
      </c>
      <c r="N34" s="87">
        <f t="shared" si="9"/>
        <v>8.7999999999999995E-2</v>
      </c>
      <c r="O34" s="107">
        <f t="shared" si="9"/>
        <v>0.121</v>
      </c>
      <c r="P34" s="107">
        <f t="shared" si="9"/>
        <v>9.8999999999999991E-2</v>
      </c>
      <c r="Q34" s="87">
        <f t="shared" si="9"/>
        <v>0.10999999999999999</v>
      </c>
      <c r="R34" s="87">
        <f t="shared" si="9"/>
        <v>0.13200000000000001</v>
      </c>
      <c r="T34" s="81">
        <f>G34*1000/G33</f>
        <v>11</v>
      </c>
      <c r="U34" s="81">
        <f t="shared" ref="U34:AE34" si="10">H34*1000/H33</f>
        <v>10.999999999999998</v>
      </c>
      <c r="V34" s="81">
        <f t="shared" si="10"/>
        <v>11</v>
      </c>
      <c r="W34" s="81">
        <f t="shared" si="10"/>
        <v>11</v>
      </c>
      <c r="X34" s="81">
        <f t="shared" si="10"/>
        <v>11</v>
      </c>
      <c r="Y34" s="81">
        <f t="shared" si="10"/>
        <v>10.999999999999998</v>
      </c>
      <c r="Z34" s="81">
        <f t="shared" si="10"/>
        <v>10.999999999999998</v>
      </c>
      <c r="AA34" s="81">
        <f t="shared" si="10"/>
        <v>11</v>
      </c>
      <c r="AB34" s="81">
        <f t="shared" si="10"/>
        <v>11</v>
      </c>
      <c r="AC34" s="81">
        <f t="shared" si="10"/>
        <v>10.999999999999998</v>
      </c>
      <c r="AD34" s="81">
        <f t="shared" si="10"/>
        <v>10.999999999999998</v>
      </c>
      <c r="AE34" s="81">
        <f t="shared" si="10"/>
        <v>11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11">H37*1000/H36</f>
        <v>#DIV/0!</v>
      </c>
      <c r="V37" s="81" t="e">
        <f t="shared" si="11"/>
        <v>#DIV/0!</v>
      </c>
      <c r="W37" s="81" t="e">
        <f t="shared" si="11"/>
        <v>#DIV/0!</v>
      </c>
      <c r="X37" s="81" t="e">
        <f t="shared" si="11"/>
        <v>#DIV/0!</v>
      </c>
      <c r="Y37" s="81" t="e">
        <f t="shared" si="11"/>
        <v>#DIV/0!</v>
      </c>
      <c r="Z37" s="81" t="e">
        <f t="shared" si="11"/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2">H42*1000/H41</f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B1:E1"/>
    <mergeCell ref="B2:E2"/>
    <mergeCell ref="B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N16 N18 P23 H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Caraveli</vt:lpstr>
      <vt:lpstr>Caravel</vt:lpstr>
      <vt:lpstr>Acari</vt:lpstr>
      <vt:lpstr>Atico</vt:lpstr>
      <vt:lpstr>Yauca</vt:lpstr>
      <vt:lpstr>Jaqui</vt:lpstr>
      <vt:lpstr>Atiquipa</vt:lpstr>
      <vt:lpstr>Chala</vt:lpstr>
      <vt:lpstr>Chaparra</vt:lpstr>
      <vt:lpstr>Huanuhuanu</vt:lpstr>
      <vt:lpstr>Quicacha</vt:lpstr>
      <vt:lpstr>BellaUnion</vt:lpstr>
      <vt:lpstr>Cahuacho</vt:lpstr>
      <vt:lpstr>Acari!Área_de_impresión</vt:lpstr>
      <vt:lpstr>Atico!Área_de_impresión</vt:lpstr>
      <vt:lpstr>Atiquipa!Área_de_impresión</vt:lpstr>
      <vt:lpstr>BellaUnion!Área_de_impresión</vt:lpstr>
      <vt:lpstr>Cahuacho!Área_de_impresión</vt:lpstr>
      <vt:lpstr>Caravel!Área_de_impresión</vt:lpstr>
      <vt:lpstr>Caraveli!Área_de_impresión</vt:lpstr>
      <vt:lpstr>Chala!Área_de_impresión</vt:lpstr>
      <vt:lpstr>Chaparra!Área_de_impresión</vt:lpstr>
      <vt:lpstr>Huanuhuanu!Área_de_impresión</vt:lpstr>
      <vt:lpstr>Jaqui!Área_de_impresión</vt:lpstr>
      <vt:lpstr>Quicacha!Área_de_impresión</vt:lpstr>
      <vt:lpstr>Yauca!Área_de_impresión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Informacion Agraria</cp:lastModifiedBy>
  <cp:lastPrinted>2023-02-28T13:13:58Z</cp:lastPrinted>
  <dcterms:created xsi:type="dcterms:W3CDTF">2008-02-13T18:30:10Z</dcterms:created>
  <dcterms:modified xsi:type="dcterms:W3CDTF">2026-02-03T15:36:57Z</dcterms:modified>
</cp:coreProperties>
</file>